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160" windowHeight="10500"/>
  </bookViews>
  <sheets>
    <sheet name="16.10.2024" sheetId="1" r:id="rId1"/>
    <sheet name="РОО" sheetId="2" r:id="rId2"/>
  </sheets>
  <externalReferences>
    <externalReference r:id="rId3"/>
    <externalReference r:id="rId4"/>
    <externalReference r:id="rId5"/>
  </externalReferences>
  <calcPr calcId="162913"/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K9" i="1" l="1"/>
  <c r="K10" i="1"/>
  <c r="K11" i="1"/>
  <c r="K12" i="1"/>
  <c r="K13" i="1"/>
  <c r="K14" i="1"/>
  <c r="K15" i="1"/>
  <c r="K16" i="1"/>
  <c r="K17" i="1"/>
  <c r="K18" i="1"/>
  <c r="K19" i="1"/>
  <c r="K62" i="1"/>
  <c r="K64" i="1"/>
  <c r="K8" i="1"/>
  <c r="I9" i="1"/>
  <c r="I10" i="1"/>
  <c r="I11" i="1"/>
  <c r="I12" i="1"/>
  <c r="I13" i="1"/>
  <c r="I14" i="1"/>
  <c r="I15" i="1"/>
  <c r="I16" i="1"/>
  <c r="I17" i="1"/>
  <c r="I18" i="1"/>
  <c r="I19" i="1"/>
  <c r="I62" i="1"/>
  <c r="I64" i="1"/>
  <c r="H9" i="1"/>
  <c r="H10" i="1"/>
  <c r="H11" i="1"/>
  <c r="H12" i="1"/>
  <c r="H13" i="1"/>
  <c r="H14" i="1"/>
  <c r="H15" i="1"/>
  <c r="H16" i="1"/>
  <c r="H17" i="1"/>
  <c r="H18" i="1"/>
  <c r="H19" i="1"/>
  <c r="H62" i="1"/>
  <c r="H64" i="1"/>
  <c r="I8" i="1"/>
  <c r="H8" i="1"/>
  <c r="G47" i="1"/>
  <c r="I47" i="1" s="1"/>
  <c r="G28" i="1"/>
  <c r="I28" i="1" s="1"/>
  <c r="G27" i="1"/>
  <c r="K27" i="1" s="1"/>
  <c r="G63" i="1"/>
  <c r="G61" i="1"/>
  <c r="K61" i="1" s="1"/>
  <c r="G60" i="1"/>
  <c r="I60" i="1" s="1"/>
  <c r="G59" i="1"/>
  <c r="I59" i="1" s="1"/>
  <c r="G58" i="1"/>
  <c r="I58" i="1" s="1"/>
  <c r="G57" i="1"/>
  <c r="G56" i="1"/>
  <c r="H56" i="1" s="1"/>
  <c r="G55" i="1"/>
  <c r="K55" i="1" s="1"/>
  <c r="G54" i="1"/>
  <c r="I54" i="1" s="1"/>
  <c r="G53" i="1"/>
  <c r="I53" i="1" s="1"/>
  <c r="G52" i="1"/>
  <c r="I52" i="1" s="1"/>
  <c r="G51" i="1"/>
  <c r="G50" i="1"/>
  <c r="H50" i="1" s="1"/>
  <c r="G49" i="1"/>
  <c r="K49" i="1" s="1"/>
  <c r="G48" i="1"/>
  <c r="I48" i="1" s="1"/>
  <c r="G46" i="1"/>
  <c r="I46" i="1" s="1"/>
  <c r="G45" i="1"/>
  <c r="G44" i="1"/>
  <c r="H44" i="1" s="1"/>
  <c r="G43" i="1"/>
  <c r="K43" i="1" s="1"/>
  <c r="G42" i="1"/>
  <c r="I42" i="1" s="1"/>
  <c r="G41" i="1"/>
  <c r="I41" i="1" s="1"/>
  <c r="G40" i="1"/>
  <c r="I40" i="1" s="1"/>
  <c r="G39" i="1"/>
  <c r="G38" i="1"/>
  <c r="H38" i="1" s="1"/>
  <c r="G37" i="1"/>
  <c r="K37" i="1" s="1"/>
  <c r="G36" i="1"/>
  <c r="I36" i="1" s="1"/>
  <c r="G35" i="1"/>
  <c r="I35" i="1" s="1"/>
  <c r="G34" i="1"/>
  <c r="I34" i="1" s="1"/>
  <c r="G33" i="1"/>
  <c r="G32" i="1"/>
  <c r="H32" i="1" s="1"/>
  <c r="G31" i="1"/>
  <c r="K31" i="1" s="1"/>
  <c r="G29" i="1"/>
  <c r="I29" i="1" s="1"/>
  <c r="G30" i="1"/>
  <c r="I30" i="1" s="1"/>
  <c r="G26" i="1"/>
  <c r="H26" i="1" s="1"/>
  <c r="G25" i="1"/>
  <c r="K25" i="1" s="1"/>
  <c r="G24" i="1"/>
  <c r="I24" i="1" s="1"/>
  <c r="G21" i="1"/>
  <c r="H61" i="1" l="1"/>
  <c r="H55" i="1"/>
  <c r="H49" i="1"/>
  <c r="H43" i="1"/>
  <c r="H37" i="1"/>
  <c r="H31" i="1"/>
  <c r="H25" i="1"/>
  <c r="I63" i="1"/>
  <c r="I57" i="1"/>
  <c r="I51" i="1"/>
  <c r="I45" i="1"/>
  <c r="I39" i="1"/>
  <c r="I33" i="1"/>
  <c r="I27" i="1"/>
  <c r="I21" i="1"/>
  <c r="K60" i="1"/>
  <c r="K54" i="1"/>
  <c r="K48" i="1"/>
  <c r="K42" i="1"/>
  <c r="K36" i="1"/>
  <c r="K30" i="1"/>
  <c r="K24" i="1"/>
  <c r="H60" i="1"/>
  <c r="H54" i="1"/>
  <c r="H48" i="1"/>
  <c r="H42" i="1"/>
  <c r="H36" i="1"/>
  <c r="H30" i="1"/>
  <c r="H24" i="1"/>
  <c r="I56" i="1"/>
  <c r="I50" i="1"/>
  <c r="I44" i="1"/>
  <c r="I38" i="1"/>
  <c r="I32" i="1"/>
  <c r="I26" i="1"/>
  <c r="K59" i="1"/>
  <c r="K53" i="1"/>
  <c r="K47" i="1"/>
  <c r="K41" i="1"/>
  <c r="K35" i="1"/>
  <c r="K29" i="1"/>
  <c r="H59" i="1"/>
  <c r="H53" i="1"/>
  <c r="H47" i="1"/>
  <c r="H41" i="1"/>
  <c r="H35" i="1"/>
  <c r="H29" i="1"/>
  <c r="I61" i="1"/>
  <c r="I55" i="1"/>
  <c r="I49" i="1"/>
  <c r="I43" i="1"/>
  <c r="I37" i="1"/>
  <c r="I31" i="1"/>
  <c r="I25" i="1"/>
  <c r="K58" i="1"/>
  <c r="K52" i="1"/>
  <c r="K46" i="1"/>
  <c r="K40" i="1"/>
  <c r="K34" i="1"/>
  <c r="K28" i="1"/>
  <c r="H58" i="1"/>
  <c r="H52" i="1"/>
  <c r="H46" i="1"/>
  <c r="H40" i="1"/>
  <c r="H34" i="1"/>
  <c r="H28" i="1"/>
  <c r="K63" i="1"/>
  <c r="K57" i="1"/>
  <c r="K51" i="1"/>
  <c r="K45" i="1"/>
  <c r="K39" i="1"/>
  <c r="K33" i="1"/>
  <c r="K21" i="1"/>
  <c r="H63" i="1"/>
  <c r="H57" i="1"/>
  <c r="H51" i="1"/>
  <c r="H45" i="1"/>
  <c r="H39" i="1"/>
  <c r="H33" i="1"/>
  <c r="H27" i="1"/>
  <c r="H21" i="1"/>
  <c r="K56" i="1"/>
  <c r="K50" i="1"/>
  <c r="K44" i="1"/>
  <c r="K38" i="1"/>
  <c r="K32" i="1"/>
  <c r="K26" i="1"/>
  <c r="J38" i="1"/>
  <c r="P9" i="2"/>
  <c r="L38" i="1" l="1"/>
  <c r="AD11" i="2"/>
  <c r="V11" i="2"/>
  <c r="U11" i="2"/>
  <c r="T11" i="2"/>
  <c r="R11" i="2"/>
  <c r="Q11" i="2"/>
  <c r="AC9" i="2"/>
  <c r="AB9" i="2"/>
  <c r="H9" i="2"/>
  <c r="J9" i="2" s="1"/>
  <c r="D9" i="2"/>
  <c r="F9" i="2" s="1"/>
  <c r="O11" i="2"/>
  <c r="S11" i="2"/>
  <c r="P11" i="2"/>
  <c r="N11" i="2"/>
  <c r="G9" i="2" l="1"/>
  <c r="I9" i="2"/>
  <c r="K9" i="2"/>
  <c r="M9" i="2" s="1"/>
  <c r="E9" i="2"/>
  <c r="L9" i="2"/>
  <c r="L11" i="2" s="1"/>
  <c r="D11" i="2"/>
  <c r="H11" i="2"/>
  <c r="U65" i="1"/>
  <c r="T65" i="1"/>
  <c r="S65" i="1"/>
  <c r="Q65" i="1"/>
  <c r="P65" i="1"/>
  <c r="W64" i="1"/>
  <c r="C64" i="1"/>
  <c r="D64" i="1" s="1"/>
  <c r="O63" i="1"/>
  <c r="M63" i="1"/>
  <c r="W63" i="1" s="1"/>
  <c r="C63" i="1"/>
  <c r="D63" i="1" s="1"/>
  <c r="W62" i="1"/>
  <c r="C62" i="1"/>
  <c r="D62" i="1" s="1"/>
  <c r="M61" i="1"/>
  <c r="W61" i="1" s="1"/>
  <c r="C61" i="1"/>
  <c r="M60" i="1"/>
  <c r="W60" i="1" s="1"/>
  <c r="C60" i="1"/>
  <c r="F60" i="1" s="1"/>
  <c r="O59" i="1"/>
  <c r="M59" i="1"/>
  <c r="W59" i="1" s="1"/>
  <c r="C59" i="1"/>
  <c r="O58" i="1"/>
  <c r="M58" i="1"/>
  <c r="W58" i="1" s="1"/>
  <c r="C58" i="1"/>
  <c r="F58" i="1" s="1"/>
  <c r="W57" i="1"/>
  <c r="O57" i="1"/>
  <c r="C57" i="1"/>
  <c r="D57" i="1" s="1"/>
  <c r="W56" i="1"/>
  <c r="C56" i="1"/>
  <c r="D56" i="1" s="1"/>
  <c r="M55" i="1"/>
  <c r="W55" i="1" s="1"/>
  <c r="C55" i="1"/>
  <c r="E55" i="1" s="1"/>
  <c r="M54" i="1"/>
  <c r="W54" i="1" s="1"/>
  <c r="C54" i="1"/>
  <c r="E54" i="1" s="1"/>
  <c r="R53" i="1"/>
  <c r="M53" i="1"/>
  <c r="W53" i="1" s="1"/>
  <c r="C53" i="1"/>
  <c r="D53" i="1" s="1"/>
  <c r="R52" i="1"/>
  <c r="M52" i="1"/>
  <c r="W52" i="1" s="1"/>
  <c r="C52" i="1"/>
  <c r="D52" i="1" s="1"/>
  <c r="O51" i="1"/>
  <c r="M51" i="1"/>
  <c r="W51" i="1" s="1"/>
  <c r="J51" i="1"/>
  <c r="L51" i="1" s="1"/>
  <c r="C51" i="1"/>
  <c r="D51" i="1" s="1"/>
  <c r="W50" i="1"/>
  <c r="C50" i="1"/>
  <c r="F50" i="1" s="1"/>
  <c r="O49" i="1"/>
  <c r="M49" i="1"/>
  <c r="W49" i="1" s="1"/>
  <c r="C49" i="1"/>
  <c r="D49" i="1" s="1"/>
  <c r="O48" i="1"/>
  <c r="M48" i="1"/>
  <c r="W48" i="1" s="1"/>
  <c r="C48" i="1"/>
  <c r="E48" i="1" s="1"/>
  <c r="O47" i="1"/>
  <c r="M47" i="1"/>
  <c r="W47" i="1" s="1"/>
  <c r="C47" i="1"/>
  <c r="E47" i="1" s="1"/>
  <c r="O46" i="1"/>
  <c r="M46" i="1"/>
  <c r="W46" i="1" s="1"/>
  <c r="C46" i="1"/>
  <c r="D46" i="1" s="1"/>
  <c r="M45" i="1"/>
  <c r="W45" i="1" s="1"/>
  <c r="J45" i="1"/>
  <c r="L45" i="1" s="1"/>
  <c r="C45" i="1"/>
  <c r="D45" i="1" s="1"/>
  <c r="M44" i="1"/>
  <c r="W44" i="1" s="1"/>
  <c r="C44" i="1"/>
  <c r="E44" i="1" s="1"/>
  <c r="M43" i="1"/>
  <c r="W43" i="1" s="1"/>
  <c r="J43" i="1"/>
  <c r="L43" i="1" s="1"/>
  <c r="C43" i="1"/>
  <c r="F43" i="1" s="1"/>
  <c r="W42" i="1"/>
  <c r="C42" i="1"/>
  <c r="E42" i="1" s="1"/>
  <c r="M41" i="1"/>
  <c r="W41" i="1" s="1"/>
  <c r="C41" i="1"/>
  <c r="E41" i="1" s="1"/>
  <c r="O40" i="1"/>
  <c r="M40" i="1"/>
  <c r="W40" i="1" s="1"/>
  <c r="C40" i="1"/>
  <c r="O39" i="1"/>
  <c r="M39" i="1"/>
  <c r="W39" i="1" s="1"/>
  <c r="J39" i="1"/>
  <c r="L39" i="1" s="1"/>
  <c r="C39" i="1"/>
  <c r="F39" i="1" s="1"/>
  <c r="M38" i="1"/>
  <c r="W38" i="1" s="1"/>
  <c r="C38" i="1"/>
  <c r="D38" i="1" s="1"/>
  <c r="M37" i="1"/>
  <c r="W37" i="1" s="1"/>
  <c r="J37" i="1"/>
  <c r="L37" i="1" s="1"/>
  <c r="C37" i="1"/>
  <c r="D37" i="1" s="1"/>
  <c r="O36" i="1"/>
  <c r="M36" i="1"/>
  <c r="W36" i="1" s="1"/>
  <c r="C36" i="1"/>
  <c r="E36" i="1" s="1"/>
  <c r="M35" i="1"/>
  <c r="W35" i="1" s="1"/>
  <c r="F35" i="1"/>
  <c r="E35" i="1"/>
  <c r="D35" i="1"/>
  <c r="M34" i="1"/>
  <c r="W34" i="1" s="1"/>
  <c r="C34" i="1"/>
  <c r="D34" i="1" s="1"/>
  <c r="R33" i="1"/>
  <c r="O33" i="1"/>
  <c r="M33" i="1"/>
  <c r="W33" i="1" s="1"/>
  <c r="C33" i="1"/>
  <c r="E33" i="1" s="1"/>
  <c r="O32" i="1"/>
  <c r="M32" i="1"/>
  <c r="W32" i="1" s="1"/>
  <c r="J32" i="1"/>
  <c r="L32" i="1" s="1"/>
  <c r="C32" i="1"/>
  <c r="O31" i="1"/>
  <c r="M31" i="1"/>
  <c r="W31" i="1" s="1"/>
  <c r="J31" i="1"/>
  <c r="L31" i="1" s="1"/>
  <c r="C31" i="1"/>
  <c r="O30" i="1"/>
  <c r="M30" i="1"/>
  <c r="W30" i="1" s="1"/>
  <c r="J30" i="1"/>
  <c r="L30" i="1" s="1"/>
  <c r="C30" i="1"/>
  <c r="F30" i="1" s="1"/>
  <c r="R29" i="1"/>
  <c r="O29" i="1"/>
  <c r="M29" i="1"/>
  <c r="W29" i="1" s="1"/>
  <c r="J29" i="1"/>
  <c r="L29" i="1" s="1"/>
  <c r="C29" i="1"/>
  <c r="E29" i="1" s="1"/>
  <c r="O28" i="1"/>
  <c r="M28" i="1"/>
  <c r="W28" i="1" s="1"/>
  <c r="C28" i="1"/>
  <c r="F28" i="1" s="1"/>
  <c r="O27" i="1"/>
  <c r="M27" i="1"/>
  <c r="W27" i="1" s="1"/>
  <c r="J27" i="1"/>
  <c r="L27" i="1" s="1"/>
  <c r="C27" i="1"/>
  <c r="D27" i="1" s="1"/>
  <c r="O26" i="1"/>
  <c r="M26" i="1"/>
  <c r="W26" i="1" s="1"/>
  <c r="J26" i="1"/>
  <c r="L26" i="1" s="1"/>
  <c r="C26" i="1"/>
  <c r="E26" i="1" s="1"/>
  <c r="M25" i="1"/>
  <c r="W25" i="1" s="1"/>
  <c r="J25" i="1"/>
  <c r="L25" i="1" s="1"/>
  <c r="C25" i="1"/>
  <c r="E25" i="1" s="1"/>
  <c r="O24" i="1"/>
  <c r="M24" i="1"/>
  <c r="W24" i="1" s="1"/>
  <c r="C24" i="1"/>
  <c r="F24" i="1" s="1"/>
  <c r="O23" i="1"/>
  <c r="M23" i="1"/>
  <c r="W23" i="1" s="1"/>
  <c r="C23" i="1"/>
  <c r="D23" i="1" s="1"/>
  <c r="R22" i="1"/>
  <c r="O22" i="1"/>
  <c r="M22" i="1"/>
  <c r="W22" i="1" s="1"/>
  <c r="C22" i="1"/>
  <c r="D22" i="1" s="1"/>
  <c r="M21" i="1"/>
  <c r="W21" i="1" s="1"/>
  <c r="J21" i="1"/>
  <c r="L21" i="1" s="1"/>
  <c r="C21" i="1"/>
  <c r="D21" i="1" s="1"/>
  <c r="W20" i="1"/>
  <c r="F20" i="1"/>
  <c r="E20" i="1"/>
  <c r="D20" i="1"/>
  <c r="W19" i="1"/>
  <c r="R19" i="1"/>
  <c r="C19" i="1"/>
  <c r="E19" i="1" s="1"/>
  <c r="W18" i="1"/>
  <c r="O18" i="1"/>
  <c r="J18" i="1"/>
  <c r="L18" i="1" s="1"/>
  <c r="F18" i="1"/>
  <c r="E18" i="1"/>
  <c r="D18" i="1"/>
  <c r="M17" i="1"/>
  <c r="W17" i="1" s="1"/>
  <c r="F17" i="1"/>
  <c r="E17" i="1"/>
  <c r="D17" i="1"/>
  <c r="R16" i="1"/>
  <c r="O16" i="1"/>
  <c r="M16" i="1"/>
  <c r="W16" i="1" s="1"/>
  <c r="J16" i="1"/>
  <c r="L16" i="1" s="1"/>
  <c r="C16" i="1"/>
  <c r="D16" i="1" s="1"/>
  <c r="O15" i="1"/>
  <c r="N65" i="1"/>
  <c r="M15" i="1"/>
  <c r="W15" i="1" s="1"/>
  <c r="C15" i="1"/>
  <c r="F15" i="1" s="1"/>
  <c r="M14" i="1"/>
  <c r="W14" i="1" s="1"/>
  <c r="J14" i="1"/>
  <c r="L14" i="1" s="1"/>
  <c r="C14" i="1"/>
  <c r="F14" i="1" s="1"/>
  <c r="O13" i="1"/>
  <c r="M13" i="1"/>
  <c r="W13" i="1" s="1"/>
  <c r="C13" i="1"/>
  <c r="F13" i="1" s="1"/>
  <c r="O12" i="1"/>
  <c r="M12" i="1"/>
  <c r="W12" i="1" s="1"/>
  <c r="C12" i="1"/>
  <c r="E12" i="1" s="1"/>
  <c r="R11" i="1"/>
  <c r="M11" i="1"/>
  <c r="W11" i="1" s="1"/>
  <c r="C11" i="1"/>
  <c r="F11" i="1" s="1"/>
  <c r="W10" i="1"/>
  <c r="O10" i="1"/>
  <c r="J10" i="1"/>
  <c r="L10" i="1" s="1"/>
  <c r="F10" i="1"/>
  <c r="E10" i="1"/>
  <c r="D10" i="1"/>
  <c r="W9" i="1"/>
  <c r="R9" i="1"/>
  <c r="O9" i="1"/>
  <c r="C9" i="1"/>
  <c r="F9" i="1" s="1"/>
  <c r="O8" i="1"/>
  <c r="M8" i="1"/>
  <c r="C8" i="1"/>
  <c r="E8" i="1" s="1"/>
  <c r="F34" i="1" l="1"/>
  <c r="E24" i="1"/>
  <c r="F63" i="1"/>
  <c r="R65" i="1"/>
  <c r="E30" i="1"/>
  <c r="E52" i="1"/>
  <c r="F52" i="1"/>
  <c r="F57" i="1"/>
  <c r="F19" i="1"/>
  <c r="F47" i="1"/>
  <c r="D24" i="1"/>
  <c r="F33" i="1"/>
  <c r="E34" i="1"/>
  <c r="D15" i="1"/>
  <c r="D36" i="1"/>
  <c r="D50" i="1"/>
  <c r="F51" i="1"/>
  <c r="D58" i="1"/>
  <c r="J62" i="1"/>
  <c r="L62" i="1" s="1"/>
  <c r="E23" i="1"/>
  <c r="F36" i="1"/>
  <c r="E46" i="1"/>
  <c r="E49" i="1"/>
  <c r="E50" i="1"/>
  <c r="F56" i="1"/>
  <c r="E58" i="1"/>
  <c r="J64" i="1"/>
  <c r="L64" i="1" s="1"/>
  <c r="D11" i="1"/>
  <c r="F23" i="1"/>
  <c r="D26" i="1"/>
  <c r="E28" i="1"/>
  <c r="D29" i="1"/>
  <c r="F41" i="1"/>
  <c r="F42" i="1"/>
  <c r="F44" i="1"/>
  <c r="F45" i="1"/>
  <c r="F46" i="1"/>
  <c r="F48" i="1"/>
  <c r="F53" i="1"/>
  <c r="J56" i="1"/>
  <c r="L56" i="1" s="1"/>
  <c r="D60" i="1"/>
  <c r="E14" i="1"/>
  <c r="F21" i="1"/>
  <c r="D28" i="1"/>
  <c r="F37" i="1"/>
  <c r="D41" i="1"/>
  <c r="D42" i="1"/>
  <c r="E45" i="1"/>
  <c r="D9" i="1"/>
  <c r="F8" i="1"/>
  <c r="E9" i="1"/>
  <c r="E11" i="1"/>
  <c r="D12" i="1"/>
  <c r="D19" i="1"/>
  <c r="D25" i="1"/>
  <c r="F26" i="1"/>
  <c r="F29" i="1"/>
  <c r="D33" i="1"/>
  <c r="J34" i="1"/>
  <c r="L34" i="1" s="1"/>
  <c r="J46" i="1"/>
  <c r="L46" i="1" s="1"/>
  <c r="D47" i="1"/>
  <c r="J52" i="1"/>
  <c r="L52" i="1" s="1"/>
  <c r="E60" i="1"/>
  <c r="E21" i="1"/>
  <c r="E37" i="1"/>
  <c r="E38" i="1"/>
  <c r="D43" i="1"/>
  <c r="D48" i="1"/>
  <c r="J57" i="1"/>
  <c r="L57" i="1" s="1"/>
  <c r="J63" i="1"/>
  <c r="L63" i="1" s="1"/>
  <c r="E15" i="1"/>
  <c r="F38" i="1"/>
  <c r="E43" i="1"/>
  <c r="F12" i="1"/>
  <c r="F25" i="1"/>
  <c r="D30" i="1"/>
  <c r="J41" i="1"/>
  <c r="L41" i="1" s="1"/>
  <c r="E57" i="1"/>
  <c r="E63" i="1"/>
  <c r="Z9" i="2"/>
  <c r="W9" i="2"/>
  <c r="X9" i="2" s="1"/>
  <c r="AA9" i="2"/>
  <c r="K11" i="2"/>
  <c r="I11" i="2"/>
  <c r="G11" i="2"/>
  <c r="F11" i="2"/>
  <c r="E11" i="2"/>
  <c r="J11" i="2"/>
  <c r="J40" i="1"/>
  <c r="L40" i="1" s="1"/>
  <c r="J59" i="1"/>
  <c r="L59" i="1" s="1"/>
  <c r="J53" i="1"/>
  <c r="L53" i="1" s="1"/>
  <c r="J13" i="1"/>
  <c r="L13" i="1" s="1"/>
  <c r="M65" i="1"/>
  <c r="J50" i="1"/>
  <c r="L50" i="1" s="1"/>
  <c r="J8" i="1"/>
  <c r="O65" i="1"/>
  <c r="E22" i="1"/>
  <c r="E27" i="1"/>
  <c r="F32" i="1"/>
  <c r="E32" i="1"/>
  <c r="D32" i="1"/>
  <c r="J35" i="1"/>
  <c r="L35" i="1" s="1"/>
  <c r="D59" i="1"/>
  <c r="F59" i="1"/>
  <c r="E59" i="1"/>
  <c r="J9" i="1"/>
  <c r="L9" i="1" s="1"/>
  <c r="J12" i="1"/>
  <c r="L12" i="1" s="1"/>
  <c r="D13" i="1"/>
  <c r="D14" i="1"/>
  <c r="F22" i="1"/>
  <c r="J24" i="1"/>
  <c r="L24" i="1" s="1"/>
  <c r="F27" i="1"/>
  <c r="F40" i="1"/>
  <c r="E40" i="1"/>
  <c r="D40" i="1"/>
  <c r="E13" i="1"/>
  <c r="J36" i="1"/>
  <c r="L36" i="1" s="1"/>
  <c r="J28" i="1"/>
  <c r="L28" i="1" s="1"/>
  <c r="E61" i="1"/>
  <c r="F61" i="1"/>
  <c r="D61" i="1"/>
  <c r="F31" i="1"/>
  <c r="E31" i="1"/>
  <c r="J33" i="1"/>
  <c r="L33" i="1" s="1"/>
  <c r="J48" i="1"/>
  <c r="L48" i="1" s="1"/>
  <c r="J49" i="1"/>
  <c r="L49" i="1" s="1"/>
  <c r="C65" i="1"/>
  <c r="D8" i="1"/>
  <c r="J11" i="1"/>
  <c r="L11" i="1" s="1"/>
  <c r="J15" i="1"/>
  <c r="L15" i="1" s="1"/>
  <c r="E16" i="1"/>
  <c r="D31" i="1"/>
  <c r="J55" i="1"/>
  <c r="L55" i="1" s="1"/>
  <c r="W8" i="1"/>
  <c r="F16" i="1"/>
  <c r="J17" i="1"/>
  <c r="L17" i="1" s="1"/>
  <c r="J19" i="1"/>
  <c r="L19" i="1" s="1"/>
  <c r="J54" i="1"/>
  <c r="L54" i="1" s="1"/>
  <c r="D39" i="1"/>
  <c r="J42" i="1"/>
  <c r="L42" i="1" s="1"/>
  <c r="E62" i="1"/>
  <c r="E64" i="1"/>
  <c r="E39" i="1"/>
  <c r="J47" i="1"/>
  <c r="L47" i="1" s="1"/>
  <c r="J58" i="1"/>
  <c r="L58" i="1" s="1"/>
  <c r="J60" i="1"/>
  <c r="L60" i="1" s="1"/>
  <c r="F62" i="1"/>
  <c r="F64" i="1"/>
  <c r="J44" i="1"/>
  <c r="L44" i="1" s="1"/>
  <c r="D54" i="1"/>
  <c r="D55" i="1"/>
  <c r="D44" i="1"/>
  <c r="F49" i="1"/>
  <c r="E51" i="1"/>
  <c r="E53" i="1"/>
  <c r="F54" i="1"/>
  <c r="F55" i="1"/>
  <c r="E56" i="1"/>
  <c r="J61" i="1"/>
  <c r="L61" i="1" s="1"/>
  <c r="V39" i="1" l="1"/>
  <c r="V10" i="1"/>
  <c r="V34" i="1"/>
  <c r="L8" i="1"/>
  <c r="V8" i="1" s="1"/>
  <c r="V46" i="1"/>
  <c r="V62" i="1"/>
  <c r="V59" i="1"/>
  <c r="V40" i="1"/>
  <c r="V50" i="1"/>
  <c r="V11" i="1"/>
  <c r="V47" i="1"/>
  <c r="V27" i="1"/>
  <c r="AD9" i="2"/>
  <c r="AE9" i="2" s="1"/>
  <c r="M11" i="2"/>
  <c r="W11" i="2" s="1"/>
  <c r="V37" i="1"/>
  <c r="V21" i="1"/>
  <c r="V38" i="1"/>
  <c r="V9" i="1"/>
  <c r="V35" i="1"/>
  <c r="V48" i="1"/>
  <c r="V15" i="1"/>
  <c r="V32" i="1"/>
  <c r="V30" i="1"/>
  <c r="V45" i="1"/>
  <c r="V43" i="1"/>
  <c r="V14" i="1"/>
  <c r="D65" i="1"/>
  <c r="F65" i="1"/>
  <c r="E65" i="1"/>
  <c r="V18" i="1" l="1"/>
  <c r="V60" i="1"/>
  <c r="V49" i="1"/>
  <c r="V36" i="1"/>
  <c r="V41" i="1"/>
  <c r="V17" i="1"/>
  <c r="V53" i="1"/>
  <c r="V12" i="1"/>
  <c r="V19" i="1"/>
  <c r="V42" i="1"/>
  <c r="V33" i="1"/>
  <c r="V54" i="1"/>
  <c r="X54" i="1" s="1"/>
  <c r="Y54" i="1" s="1"/>
  <c r="X27" i="1"/>
  <c r="Y27" i="1" s="1"/>
  <c r="V55" i="1"/>
  <c r="V51" i="1"/>
  <c r="V31" i="1"/>
  <c r="V57" i="1"/>
  <c r="V26" i="1"/>
  <c r="X10" i="1"/>
  <c r="Y10" i="1" s="1"/>
  <c r="V63" i="1"/>
  <c r="V64" i="1"/>
  <c r="V25" i="1"/>
  <c r="V24" i="1"/>
  <c r="V44" i="1"/>
  <c r="X21" i="1"/>
  <c r="Y21" i="1" s="1"/>
  <c r="V58" i="1"/>
  <c r="X38" i="1"/>
  <c r="Y38" i="1" s="1"/>
  <c r="X37" i="1"/>
  <c r="Y37" i="1" s="1"/>
  <c r="V28" i="1"/>
  <c r="V52" i="1"/>
  <c r="V16" i="1"/>
  <c r="V56" i="1"/>
  <c r="V13" i="1"/>
  <c r="V61" i="1"/>
  <c r="X30" i="1"/>
  <c r="Y30" i="1" s="1"/>
  <c r="V29" i="1"/>
  <c r="X32" i="1"/>
  <c r="Y32" i="1" s="1"/>
  <c r="X43" i="1"/>
  <c r="Y43" i="1" s="1"/>
  <c r="X14" i="1"/>
  <c r="Y14" i="1" s="1"/>
  <c r="X45" i="1"/>
  <c r="Y45" i="1" s="1"/>
  <c r="X59" i="1" l="1"/>
  <c r="Y59" i="1" s="1"/>
  <c r="X34" i="1"/>
  <c r="Y34" i="1" s="1"/>
  <c r="X36" i="1"/>
  <c r="Y36" i="1" s="1"/>
  <c r="X18" i="1"/>
  <c r="Y18" i="1" s="1"/>
  <c r="X49" i="1"/>
  <c r="Y49" i="1" s="1"/>
  <c r="X8" i="1"/>
  <c r="Y8" i="1" s="1"/>
  <c r="X19" i="1"/>
  <c r="Y19" i="1" s="1"/>
  <c r="X25" i="1"/>
  <c r="Y25" i="1" s="1"/>
  <c r="X51" i="1"/>
  <c r="Y51" i="1" s="1"/>
  <c r="X58" i="1"/>
  <c r="Y58" i="1" s="1"/>
  <c r="X60" i="1"/>
  <c r="Y60" i="1" s="1"/>
  <c r="X41" i="1"/>
  <c r="Y41" i="1" s="1"/>
  <c r="X50" i="1"/>
  <c r="Y50" i="1" s="1"/>
  <c r="X31" i="1"/>
  <c r="Y31" i="1" s="1"/>
  <c r="X39" i="1"/>
  <c r="Y39" i="1" s="1"/>
  <c r="X33" i="1"/>
  <c r="Y33" i="1" s="1"/>
  <c r="X53" i="1"/>
  <c r="Y53" i="1" s="1"/>
  <c r="X42" i="1"/>
  <c r="Y42" i="1" s="1"/>
  <c r="X12" i="1"/>
  <c r="Y12" i="1" s="1"/>
  <c r="X47" i="1"/>
  <c r="Y47" i="1" s="1"/>
  <c r="X40" i="1"/>
  <c r="Y40" i="1" s="1"/>
  <c r="X24" i="1"/>
  <c r="Y24" i="1" s="1"/>
  <c r="X26" i="1"/>
  <c r="Y26" i="1" s="1"/>
  <c r="X46" i="1"/>
  <c r="Y46" i="1" s="1"/>
  <c r="X57" i="1"/>
  <c r="Y57" i="1" s="1"/>
  <c r="X55" i="1"/>
  <c r="Y55" i="1" s="1"/>
  <c r="X9" i="1"/>
  <c r="Y9" i="1" s="1"/>
  <c r="X62" i="1"/>
  <c r="Y62" i="1" s="1"/>
  <c r="X15" i="1"/>
  <c r="Y15" i="1" s="1"/>
  <c r="X17" i="1"/>
  <c r="Y17" i="1" s="1"/>
  <c r="X64" i="1"/>
  <c r="Y64" i="1" s="1"/>
  <c r="X63" i="1"/>
  <c r="Y63" i="1" s="1"/>
  <c r="X44" i="1"/>
  <c r="Y44" i="1" s="1"/>
  <c r="X11" i="1"/>
  <c r="Y11" i="1" s="1"/>
  <c r="X48" i="1"/>
  <c r="Y48" i="1" s="1"/>
  <c r="X28" i="1"/>
  <c r="Y28" i="1" s="1"/>
  <c r="X52" i="1"/>
  <c r="Y52" i="1" s="1"/>
  <c r="X13" i="1"/>
  <c r="Y13" i="1" s="1"/>
  <c r="X35" i="1"/>
  <c r="Y35" i="1" s="1"/>
  <c r="X56" i="1"/>
  <c r="Y56" i="1" s="1"/>
  <c r="X16" i="1"/>
  <c r="Y16" i="1" s="1"/>
  <c r="X61" i="1"/>
  <c r="Y61" i="1" s="1"/>
  <c r="X29" i="1"/>
  <c r="Y29" i="1" s="1"/>
  <c r="X65" i="1" l="1"/>
  <c r="G20" i="1" l="1"/>
  <c r="J20" i="1" s="1"/>
  <c r="I20" i="1" l="1"/>
  <c r="K20" i="1"/>
  <c r="H20" i="1"/>
  <c r="L20" i="1" l="1"/>
  <c r="V20" i="1" l="1"/>
  <c r="X20" i="1" l="1"/>
  <c r="Y20" i="1" s="1"/>
  <c r="G22" i="1"/>
  <c r="I22" i="1" s="1"/>
  <c r="K22" i="1" l="1"/>
  <c r="H22" i="1"/>
  <c r="J22" i="1"/>
  <c r="L22" i="1" l="1"/>
  <c r="V22" i="1" l="1"/>
  <c r="X22" i="1" l="1"/>
  <c r="Y22" i="1" s="1"/>
  <c r="G23" i="1"/>
  <c r="I23" i="1" s="1"/>
  <c r="K23" i="1" l="1"/>
  <c r="K65" i="1" s="1"/>
  <c r="G65" i="1"/>
  <c r="J23" i="1"/>
  <c r="J65" i="1" s="1"/>
  <c r="I65" i="1"/>
  <c r="H23" i="1"/>
  <c r="L23" i="1" l="1"/>
  <c r="L65" i="1"/>
  <c r="V65" i="1" s="1"/>
  <c r="V23" i="1"/>
  <c r="X23" i="1" l="1"/>
  <c r="Y23" i="1" s="1"/>
</calcChain>
</file>

<file path=xl/sharedStrings.xml><?xml version="1.0" encoding="utf-8"?>
<sst xmlns="http://schemas.openxmlformats.org/spreadsheetml/2006/main" count="105" uniqueCount="87">
  <si>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</si>
  <si>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</si>
  <si>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</si>
  <si>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</si>
  <si>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</si>
  <si>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</si>
  <si>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</si>
  <si>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</si>
  <si>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</si>
  <si>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</si>
  <si>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</si>
  <si>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</si>
  <si>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</si>
  <si>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</si>
  <si>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</si>
  <si>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</si>
  <si>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</si>
  <si>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</si>
  <si>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</si>
  <si>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</si>
  <si>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</si>
  <si>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</si>
  <si>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ОСШ  с.Конысбай</t>
  </si>
  <si>
    <t>КГУ ОСШ с.Айдабул</t>
  </si>
  <si>
    <t>КГУ ОСШ с.Акколь</t>
  </si>
  <si>
    <t>КГУ ОСШ с.Акадыр</t>
  </si>
  <si>
    <t>КГУ ОСШ с.Алексеевка №1</t>
  </si>
  <si>
    <t>КГУ ОСШ с.Еликты</t>
  </si>
  <si>
    <t>КГУ ОСШ с.Бирлестык</t>
  </si>
  <si>
    <t>КГУ ОСШ с.Викторовка</t>
  </si>
  <si>
    <t>КГУ ОСШ с.Алексеевка №2</t>
  </si>
  <si>
    <t>КГУ ОСШ с.Еленовка</t>
  </si>
  <si>
    <t>КГУ ОСШ №1 с.Зеренда</t>
  </si>
  <si>
    <t>КГУ«Школа - гимназия имени Малика Габдуллина села Зеренда</t>
  </si>
  <si>
    <t>КГУ ОСШ № 2 с.Зеренда</t>
  </si>
  <si>
    <t>КГУ ОСШ с.Иглик</t>
  </si>
  <si>
    <t>КГУ ОСШ с.Исаковка</t>
  </si>
  <si>
    <t>КГУ ОСШ с.Оркен</t>
  </si>
  <si>
    <t>КГУ ОСШ с.Кызылсая</t>
  </si>
  <si>
    <t>КГУ ОСШ с.Кызылтан</t>
  </si>
  <si>
    <t>КГУ ОСШ с.Молодежное</t>
  </si>
  <si>
    <t>КГУ ОШ с.Ортагаш</t>
  </si>
  <si>
    <t>КГУ ОСШ с.Ортак</t>
  </si>
  <si>
    <t>КГУ ОСШ с.Приречное</t>
  </si>
  <si>
    <t>КГУ ОСШ с.Озен</t>
  </si>
  <si>
    <t>КГУ ОСШ с.Садовое</t>
  </si>
  <si>
    <t>КГУ ОСШ с.Сейфулино</t>
  </si>
  <si>
    <t>КГУ ОСШ с.Симферополь</t>
  </si>
  <si>
    <t>КГУ ОШ с.Троицк</t>
  </si>
  <si>
    <t>КГУ ОСШ с.Шагалалы</t>
  </si>
  <si>
    <t>КГУ ОШ с.Азат</t>
  </si>
  <si>
    <t>КГУ ОШ с.Айдарлы</t>
  </si>
  <si>
    <t>КГУ ОШ с.Акан</t>
  </si>
  <si>
    <t>КГУ ОСШ с.Байтерек</t>
  </si>
  <si>
    <t>КГУ ОШ с. Баратай</t>
  </si>
  <si>
    <t>КГУ ОШ с.Васильковка</t>
  </si>
  <si>
    <t>КГУ ОШ с.Гранитное</t>
  </si>
  <si>
    <t>КГУ ОШ с.Донгулагаш</t>
  </si>
  <si>
    <t>КГУ ОШ с.Жолдыбай</t>
  </si>
  <si>
    <t>КГУ ОШ с.Жылымды</t>
  </si>
  <si>
    <t>КГУ ОШ с.Зереченое</t>
  </si>
  <si>
    <t>КГУ ОШ с.Канайби</t>
  </si>
  <si>
    <t>КГУ ОШ с.Кенеоткель</t>
  </si>
  <si>
    <t>КГУ ОШ с.Костомаровка</t>
  </si>
  <si>
    <t>КГУ ОШ  с.Красный кордон</t>
  </si>
  <si>
    <t>КГУ ОШ с.Кызылегис</t>
  </si>
  <si>
    <t>КГУ ОШ с.Малотюкты</t>
  </si>
  <si>
    <t>КГУ ОШ с.Ескенижал</t>
  </si>
  <si>
    <t xml:space="preserve">КГУ ОШ с.Малика Габдуллина </t>
  </si>
  <si>
    <t>КГУ ОШ с.Уголки</t>
  </si>
  <si>
    <t>КГУ ОШ ст.Чаглинска</t>
  </si>
  <si>
    <t>КГУ НШ с.Жанаул</t>
  </si>
  <si>
    <t>КГУ НШ с.Ивановка</t>
  </si>
  <si>
    <t>КГУ НШ с.Павловка</t>
  </si>
  <si>
    <t>КГУ НШ с.Карагай</t>
  </si>
  <si>
    <t>КГУ НШ с.Караузек</t>
  </si>
  <si>
    <t>КГУ НШ с.Карсак</t>
  </si>
  <si>
    <t>КГУ НШ с.Красиловка</t>
  </si>
  <si>
    <t xml:space="preserve">ГУ Отдел образования </t>
  </si>
  <si>
    <t>Вечерка</t>
  </si>
  <si>
    <t>ИТОГО:</t>
  </si>
  <si>
    <t>тыс.т.</t>
  </si>
  <si>
    <t>Руководитель</t>
  </si>
  <si>
    <t>Кенжеболатова Д.Ш.</t>
  </si>
  <si>
    <t xml:space="preserve">Информация по открытым бюджетам по  Отделу образования   за 2024 год </t>
  </si>
  <si>
    <t xml:space="preserve">Сводная информация  по школам по открытым бюджетам  за 2024 год </t>
  </si>
  <si>
    <t xml:space="preserve">ГСМ /144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</si>
</sst>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[$-419]General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209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0" fontId="10" fillId="2" borderId="10" xfId="0" applyFont="1" applyFill="1" applyBorder="1"/>
    <xf numFmtId="2" fontId="11" fillId="2" borderId="6" xfId="1" applyNumberFormat="1" applyFont="1" applyFill="1" applyBorder="1" applyAlignment="1">
      <alignment vertical="top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5" fontId="9" fillId="2" borderId="11" xfId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2" xfId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center" wrapText="1"/>
    </xf>
    <xf numFmtId="164" fontId="11" fillId="2" borderId="6" xfId="1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top" wrapText="1"/>
    </xf>
    <xf numFmtId="166" fontId="6" fillId="2" borderId="6" xfId="0" applyNumberFormat="1" applyFont="1" applyFill="1" applyBorder="1" applyAlignment="1">
      <alignment horizontal="center" vertical="top" wrapText="1"/>
    </xf>
    <xf numFmtId="164" fontId="10" fillId="2" borderId="6" xfId="1" applyNumberFormat="1" applyFont="1" applyFill="1" applyBorder="1" applyAlignment="1">
      <alignment vertical="top" wrapText="1"/>
    </xf>
    <xf numFmtId="3" fontId="13" fillId="2" borderId="9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4" fillId="2" borderId="0" xfId="0" applyFont="1" applyFill="1"/>
    <xf numFmtId="164" fontId="11" fillId="2" borderId="6" xfId="1" applyNumberFormat="1" applyFont="1" applyFill="1" applyBorder="1" applyAlignment="1"/>
    <xf numFmtId="165" fontId="11" fillId="2" borderId="13" xfId="1" applyFont="1" applyFill="1" applyBorder="1" applyAlignment="1">
      <alignment vertical="top" wrapText="1"/>
    </xf>
    <xf numFmtId="164" fontId="15" fillId="2" borderId="6" xfId="1" applyNumberFormat="1" applyFont="1" applyFill="1" applyBorder="1" applyAlignment="1"/>
    <xf numFmtId="0" fontId="16" fillId="2" borderId="0" xfId="0" applyFont="1" applyFill="1"/>
    <xf numFmtId="164" fontId="16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164" fontId="18" fillId="0" borderId="0" xfId="0" applyNumberFormat="1" applyFont="1"/>
    <xf numFmtId="3" fontId="18" fillId="2" borderId="0" xfId="0" applyNumberFormat="1" applyFont="1" applyFill="1" applyAlignment="1">
      <alignment horizontal="center"/>
    </xf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2" fillId="2" borderId="0" xfId="0" applyFont="1" applyFill="1" applyAlignment="1">
      <alignment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3" fontId="18" fillId="2" borderId="0" xfId="0" applyNumberFormat="1" applyFont="1" applyFill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2" fillId="0" borderId="0" xfId="0" applyFont="1" applyAlignment="1"/>
    <xf numFmtId="3" fontId="19" fillId="2" borderId="0" xfId="0" applyNumberFormat="1" applyFont="1" applyFill="1" applyAlignment="1">
      <alignment horizontal="center" vertical="center" wrapText="1"/>
    </xf>
    <xf numFmtId="0" fontId="19" fillId="0" borderId="0" xfId="0" applyFont="1"/>
    <xf numFmtId="0" fontId="20" fillId="0" borderId="0" xfId="0" applyFont="1" applyBorder="1" applyAlignment="1">
      <alignment horizontal="center"/>
    </xf>
    <xf numFmtId="14" fontId="20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165" fontId="21" fillId="2" borderId="12" xfId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vertical="top" wrapText="1"/>
    </xf>
    <xf numFmtId="0" fontId="15" fillId="2" borderId="8" xfId="0" applyFont="1" applyFill="1" applyBorder="1" applyAlignment="1">
      <alignment vertical="top" wrapText="1"/>
    </xf>
    <xf numFmtId="3" fontId="12" fillId="2" borderId="6" xfId="0" applyNumberFormat="1" applyFont="1" applyFill="1" applyBorder="1" applyAlignment="1">
      <alignment horizontal="center" vertical="center" wrapText="1"/>
    </xf>
    <xf numFmtId="4" fontId="19" fillId="2" borderId="6" xfId="0" applyNumberFormat="1" applyFont="1" applyFill="1" applyBorder="1"/>
    <xf numFmtId="0" fontId="19" fillId="2" borderId="6" xfId="0" applyFont="1" applyFill="1" applyBorder="1"/>
    <xf numFmtId="164" fontId="19" fillId="2" borderId="6" xfId="0" applyNumberFormat="1" applyFont="1" applyFill="1" applyBorder="1"/>
    <xf numFmtId="0" fontId="19" fillId="2" borderId="0" xfId="0" applyFont="1" applyFill="1"/>
    <xf numFmtId="4" fontId="19" fillId="2" borderId="0" xfId="0" applyNumberFormat="1" applyFont="1" applyFill="1"/>
    <xf numFmtId="165" fontId="10" fillId="2" borderId="12" xfId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/>
    </xf>
    <xf numFmtId="0" fontId="20" fillId="2" borderId="0" xfId="0" applyFont="1" applyFill="1"/>
    <xf numFmtId="164" fontId="20" fillId="2" borderId="6" xfId="0" applyNumberFormat="1" applyFont="1" applyFill="1" applyBorder="1"/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4" fontId="19" fillId="2" borderId="6" xfId="0" applyNumberFormat="1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164" fontId="19" fillId="2" borderId="6" xfId="0" applyNumberFormat="1" applyFont="1" applyFill="1" applyBorder="1" applyAlignment="1">
      <alignment horizontal="center"/>
    </xf>
    <xf numFmtId="0" fontId="20" fillId="0" borderId="6" xfId="0" applyFont="1" applyBorder="1" applyAlignment="1">
      <alignment vertical="center" wrapText="1"/>
    </xf>
    <xf numFmtId="0" fontId="10" fillId="3" borderId="10" xfId="0" applyFont="1" applyFill="1" applyBorder="1"/>
    <xf numFmtId="0" fontId="4" fillId="3" borderId="6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2" fontId="4" fillId="3" borderId="9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11" fillId="4" borderId="6" xfId="1" applyNumberFormat="1" applyFont="1" applyFill="1" applyBorder="1" applyAlignment="1">
      <alignment vertical="top" wrapText="1"/>
    </xf>
    <xf numFmtId="3" fontId="4" fillId="4" borderId="9" xfId="0" applyNumberFormat="1" applyFont="1" applyFill="1" applyBorder="1" applyAlignment="1">
      <alignment horizontal="center"/>
    </xf>
    <xf numFmtId="3" fontId="4" fillId="4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3" fontId="4" fillId="4" borderId="6" xfId="0" applyNumberFormat="1" applyFont="1" applyFill="1" applyBorder="1" applyAlignment="1">
      <alignment horizontal="center" vertical="center" wrapText="1"/>
    </xf>
    <xf numFmtId="164" fontId="0" fillId="4" borderId="6" xfId="0" applyNumberFormat="1" applyFill="1" applyBorder="1"/>
    <xf numFmtId="0" fontId="0" fillId="4" borderId="0" xfId="0" applyFill="1"/>
    <xf numFmtId="4" fontId="0" fillId="4" borderId="0" xfId="0" applyNumberFormat="1" applyFill="1"/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5" fontId="15" fillId="2" borderId="13" xfId="1" applyFont="1" applyFill="1" applyBorder="1" applyAlignment="1">
      <alignment horizontal="center"/>
    </xf>
    <xf numFmtId="165" fontId="15" fillId="2" borderId="14" xfId="1" applyFont="1" applyFill="1" applyBorder="1" applyAlignment="1">
      <alignment horizontal="center"/>
    </xf>
    <xf numFmtId="3" fontId="18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01.09.2024&#1075;%20&#1058;&#1040;&#1056;&#1048;&#1060;&#1048;&#1050;&#1040;&#1062;&#1048;&#1071;%202024&#1075;&#1075;%20&#8212;\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7">
          <cell r="J7">
            <v>12013720.855255393</v>
          </cell>
        </row>
        <row r="8">
          <cell r="J8">
            <v>8629271.2720314339</v>
          </cell>
        </row>
        <row r="9">
          <cell r="J9">
            <v>7625100.2980835158</v>
          </cell>
        </row>
        <row r="11">
          <cell r="J11">
            <v>9385117.6688126847</v>
          </cell>
        </row>
        <row r="12">
          <cell r="J12">
            <v>7425181.3609999996</v>
          </cell>
        </row>
        <row r="13">
          <cell r="J13">
            <v>13746179.402885601</v>
          </cell>
        </row>
        <row r="15">
          <cell r="J15">
            <v>7837638.0911145825</v>
          </cell>
        </row>
        <row r="17">
          <cell r="J17">
            <v>15896303.081448099</v>
          </cell>
        </row>
        <row r="19">
          <cell r="J19">
            <v>7732127.8151980983</v>
          </cell>
        </row>
        <row r="20">
          <cell r="J20">
            <v>5306275.8012449741</v>
          </cell>
        </row>
        <row r="21">
          <cell r="J21">
            <v>7141379.7636512872</v>
          </cell>
        </row>
        <row r="22">
          <cell r="J22">
            <v>6462736.9432605999</v>
          </cell>
        </row>
        <row r="23">
          <cell r="J23">
            <v>14444194.371994976</v>
          </cell>
        </row>
        <row r="24">
          <cell r="J24">
            <v>9823182.4827918485</v>
          </cell>
        </row>
        <row r="25">
          <cell r="J25">
            <v>6848269.5907918485</v>
          </cell>
        </row>
        <row r="26">
          <cell r="J26">
            <v>4381301.3616408091</v>
          </cell>
        </row>
        <row r="27">
          <cell r="J27">
            <v>8205632.5673637241</v>
          </cell>
        </row>
        <row r="28">
          <cell r="J28">
            <v>9770760.7949533071</v>
          </cell>
        </row>
        <row r="29">
          <cell r="J29">
            <v>10489088.921817891</v>
          </cell>
        </row>
        <row r="30">
          <cell r="J30">
            <v>6201442.2744585164</v>
          </cell>
        </row>
        <row r="31">
          <cell r="J31">
            <v>7591403.3973699752</v>
          </cell>
        </row>
        <row r="32">
          <cell r="J32">
            <v>6678490.0416564327</v>
          </cell>
        </row>
        <row r="34">
          <cell r="J34">
            <v>6468239.5284918509</v>
          </cell>
        </row>
        <row r="35">
          <cell r="J35">
            <v>3807968.9260522663</v>
          </cell>
        </row>
        <row r="36">
          <cell r="J36">
            <v>4405815.0499579459</v>
          </cell>
        </row>
        <row r="38">
          <cell r="J38">
            <v>4116466.6800585166</v>
          </cell>
        </row>
        <row r="39">
          <cell r="J39">
            <v>7587091.2818296626</v>
          </cell>
        </row>
        <row r="40">
          <cell r="J40">
            <v>4508878.2471876815</v>
          </cell>
        </row>
        <row r="41">
          <cell r="J41">
            <v>8241468.3737085164</v>
          </cell>
        </row>
        <row r="42">
          <cell r="J42">
            <v>6425079.5290933633</v>
          </cell>
        </row>
        <row r="43">
          <cell r="J43">
            <v>3725833.7278121137</v>
          </cell>
        </row>
        <row r="44">
          <cell r="J44">
            <v>5387875.1330599748</v>
          </cell>
        </row>
        <row r="45">
          <cell r="J45">
            <v>3701828.7106355992</v>
          </cell>
        </row>
        <row r="46">
          <cell r="J46">
            <v>4431680.345279349</v>
          </cell>
        </row>
        <row r="48">
          <cell r="J48">
            <v>3733460.5312137241</v>
          </cell>
        </row>
        <row r="51">
          <cell r="J51">
            <v>5683780.2916720584</v>
          </cell>
        </row>
        <row r="52">
          <cell r="J52">
            <v>3830868.4139168495</v>
          </cell>
        </row>
        <row r="53">
          <cell r="J53">
            <v>3357714.7371766972</v>
          </cell>
        </row>
        <row r="55">
          <cell r="J55">
            <v>4295933.2007964896</v>
          </cell>
        </row>
        <row r="56">
          <cell r="J56">
            <v>3834752.3088121144</v>
          </cell>
        </row>
        <row r="57">
          <cell r="J57">
            <v>7420792.3418682674</v>
          </cell>
        </row>
        <row r="58">
          <cell r="J58">
            <v>3217411.9115719004</v>
          </cell>
        </row>
        <row r="59">
          <cell r="J59">
            <v>8821575.2963335179</v>
          </cell>
        </row>
        <row r="60">
          <cell r="J60">
            <v>1565619.1166996141</v>
          </cell>
        </row>
        <row r="61">
          <cell r="J61">
            <v>1148854.4637297257</v>
          </cell>
        </row>
        <row r="62">
          <cell r="J62">
            <v>1161630.3581651424</v>
          </cell>
        </row>
        <row r="63">
          <cell r="J63">
            <v>1032842.529894309</v>
          </cell>
        </row>
        <row r="64">
          <cell r="J64">
            <v>869213.7286037805</v>
          </cell>
        </row>
        <row r="65">
          <cell r="J65">
            <v>1154810.2987829472</v>
          </cell>
        </row>
        <row r="67">
          <cell r="J67">
            <v>1292308.1337484759</v>
          </cell>
        </row>
        <row r="69">
          <cell r="J69">
            <v>4058489.9515520833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10">
          <cell r="AC10">
            <v>6109.44</v>
          </cell>
        </row>
        <row r="13">
          <cell r="AC13">
            <v>7521.36</v>
          </cell>
        </row>
        <row r="14">
          <cell r="AC14">
            <v>5721.6800000000012</v>
          </cell>
        </row>
        <row r="15">
          <cell r="AC15">
            <v>12608.712</v>
          </cell>
        </row>
        <row r="16">
          <cell r="AC16">
            <v>5322.08</v>
          </cell>
        </row>
        <row r="17">
          <cell r="AC17">
            <v>9939.68</v>
          </cell>
        </row>
        <row r="18">
          <cell r="AC18">
            <v>6796.16</v>
          </cell>
        </row>
        <row r="19">
          <cell r="AC19">
            <v>4733.6319999999996</v>
          </cell>
        </row>
        <row r="20">
          <cell r="AC20">
            <v>5612.7520000000004</v>
          </cell>
        </row>
        <row r="21">
          <cell r="AC21">
            <v>6628.92</v>
          </cell>
        </row>
        <row r="22">
          <cell r="AC22">
            <v>6503.12</v>
          </cell>
        </row>
        <row r="23">
          <cell r="AC23">
            <v>2798.9760000000006</v>
          </cell>
        </row>
        <row r="24">
          <cell r="AC24">
            <v>7059.6</v>
          </cell>
        </row>
        <row r="25">
          <cell r="AC25">
            <v>3306.32</v>
          </cell>
        </row>
        <row r="26">
          <cell r="AC26">
            <v>3253.04</v>
          </cell>
        </row>
        <row r="27">
          <cell r="AC27">
            <v>4768.8559999999998</v>
          </cell>
        </row>
        <row r="28">
          <cell r="AC28">
            <v>5524.2479999999996</v>
          </cell>
        </row>
        <row r="29">
          <cell r="AC29">
            <v>2644.4639999999999</v>
          </cell>
        </row>
        <row r="30">
          <cell r="AC30">
            <v>9072.4</v>
          </cell>
        </row>
        <row r="31">
          <cell r="AC31">
            <v>3895.36</v>
          </cell>
        </row>
        <row r="32">
          <cell r="AC32">
            <v>10253.44</v>
          </cell>
        </row>
        <row r="33">
          <cell r="AC33">
            <v>7772.96</v>
          </cell>
        </row>
        <row r="34">
          <cell r="AC34">
            <v>2617.232</v>
          </cell>
        </row>
        <row r="35">
          <cell r="AC35">
            <v>5905.2</v>
          </cell>
        </row>
        <row r="36">
          <cell r="AC36">
            <v>5082.3200000000006</v>
          </cell>
        </row>
        <row r="37">
          <cell r="AC37">
            <v>6914.56</v>
          </cell>
        </row>
        <row r="38">
          <cell r="AC38">
            <v>7624.96</v>
          </cell>
        </row>
        <row r="40">
          <cell r="AC40">
            <v>3492.8</v>
          </cell>
        </row>
        <row r="41">
          <cell r="AC41">
            <v>1231.3599999999999</v>
          </cell>
        </row>
        <row r="42">
          <cell r="AC42">
            <v>1156.768</v>
          </cell>
        </row>
        <row r="43">
          <cell r="AC43">
            <v>6076.88</v>
          </cell>
        </row>
        <row r="44">
          <cell r="AC44">
            <v>2702.48</v>
          </cell>
        </row>
        <row r="46">
          <cell r="AC46">
            <v>6799.12</v>
          </cell>
        </row>
        <row r="48">
          <cell r="AC48">
            <v>1323.4159999999999</v>
          </cell>
        </row>
        <row r="50">
          <cell r="AC50">
            <v>3778.7359999999999</v>
          </cell>
        </row>
        <row r="52">
          <cell r="AC52">
            <v>5415.3200000000006</v>
          </cell>
        </row>
        <row r="53">
          <cell r="AC53">
            <v>441.04</v>
          </cell>
        </row>
        <row r="54">
          <cell r="AC54">
            <v>367.92800000000005</v>
          </cell>
        </row>
        <row r="55">
          <cell r="AC55">
            <v>5511.52</v>
          </cell>
        </row>
        <row r="56">
          <cell r="AC56">
            <v>586.08000000000004</v>
          </cell>
        </row>
        <row r="59">
          <cell r="AC59">
            <v>331.52000000000004</v>
          </cell>
        </row>
        <row r="60">
          <cell r="AC60">
            <v>867.28</v>
          </cell>
        </row>
        <row r="61">
          <cell r="AC61">
            <v>1309.5039999999997</v>
          </cell>
        </row>
        <row r="63">
          <cell r="AC63">
            <v>1217.152</v>
          </cell>
        </row>
        <row r="64">
          <cell r="AC64">
            <v>2134.16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  <row r="8">
          <cell r="L8">
            <v>194203.78294095004</v>
          </cell>
        </row>
        <row r="9">
          <cell r="L9">
            <v>136985.4294746792</v>
          </cell>
        </row>
        <row r="10">
          <cell r="L10">
            <v>155556.0151411012</v>
          </cell>
        </row>
        <row r="11">
          <cell r="L11">
            <v>267567.84834578534</v>
          </cell>
        </row>
        <row r="12">
          <cell r="L12">
            <v>180221.56577603417</v>
          </cell>
        </row>
        <row r="13">
          <cell r="L13">
            <v>131013.04348395864</v>
          </cell>
        </row>
        <row r="14">
          <cell r="L14">
            <v>121145.32679412563</v>
          </cell>
        </row>
        <row r="15">
          <cell r="L15">
            <v>235345.19637271608</v>
          </cell>
        </row>
        <row r="16">
          <cell r="L16">
            <v>282527.62580778258</v>
          </cell>
        </row>
        <row r="17">
          <cell r="L17">
            <v>138942.13293177038</v>
          </cell>
        </row>
        <row r="18">
          <cell r="L18">
            <v>466980.26763181866</v>
          </cell>
        </row>
        <row r="19">
          <cell r="L19">
            <v>501501.71133208252</v>
          </cell>
        </row>
        <row r="20">
          <cell r="L20">
            <v>204184.60205315254</v>
          </cell>
        </row>
        <row r="21">
          <cell r="L21">
            <v>146199.92928748531</v>
          </cell>
        </row>
        <row r="22">
          <cell r="L22">
            <v>253978</v>
          </cell>
        </row>
        <row r="23">
          <cell r="L23">
            <v>118848.62883281345</v>
          </cell>
        </row>
        <row r="24">
          <cell r="L24">
            <v>124742.53358843364</v>
          </cell>
        </row>
        <row r="25">
          <cell r="L25">
            <v>253977.78409008918</v>
          </cell>
        </row>
        <row r="26">
          <cell r="L26">
            <v>152314.14867448201</v>
          </cell>
        </row>
        <row r="27">
          <cell r="L27">
            <v>127163.28502077296</v>
          </cell>
        </row>
        <row r="28">
          <cell r="L28">
            <v>132488.85231043518</v>
          </cell>
        </row>
        <row r="29">
          <cell r="L29">
            <v>193173.47330067257</v>
          </cell>
        </row>
        <row r="30">
          <cell r="L30">
            <v>176236.6402010181</v>
          </cell>
        </row>
        <row r="31">
          <cell r="L31">
            <v>135055.53214701277</v>
          </cell>
        </row>
        <row r="32">
          <cell r="L32">
            <v>131189.41425001613</v>
          </cell>
        </row>
        <row r="33">
          <cell r="L33">
            <v>283571.46077354398</v>
          </cell>
        </row>
        <row r="34">
          <cell r="L34">
            <v>105859.8223356219</v>
          </cell>
        </row>
        <row r="35">
          <cell r="L35">
            <v>82617.31972224114</v>
          </cell>
        </row>
        <row r="36">
          <cell r="L36">
            <v>70924.917022070498</v>
          </cell>
        </row>
        <row r="37">
          <cell r="L37">
            <v>59440.391501485123</v>
          </cell>
        </row>
        <row r="38">
          <cell r="L38">
            <v>75862.352154252148</v>
          </cell>
        </row>
        <row r="39">
          <cell r="L39">
            <v>152751.07102302203</v>
          </cell>
        </row>
        <row r="40">
          <cell r="L40">
            <v>118377.90661129318</v>
          </cell>
        </row>
        <row r="41">
          <cell r="L41">
            <v>83360.682867275726</v>
          </cell>
        </row>
        <row r="42">
          <cell r="L42">
            <v>97706.213209330832</v>
          </cell>
        </row>
        <row r="43">
          <cell r="L43">
            <v>65275.457076596329</v>
          </cell>
        </row>
        <row r="44">
          <cell r="L44">
            <v>74040.307993314389</v>
          </cell>
        </row>
        <row r="45">
          <cell r="L45">
            <v>75470.620771863512</v>
          </cell>
        </row>
        <row r="46">
          <cell r="L46">
            <v>80499.569398224194</v>
          </cell>
        </row>
        <row r="47">
          <cell r="L47">
            <v>117505.87139537421</v>
          </cell>
        </row>
        <row r="48">
          <cell r="L48">
            <v>44261.867354351205</v>
          </cell>
        </row>
        <row r="49">
          <cell r="L49">
            <v>52928.467496951336</v>
          </cell>
        </row>
        <row r="50">
          <cell r="L50">
            <v>94163.45773464386</v>
          </cell>
        </row>
        <row r="51">
          <cell r="L51">
            <v>48256.509934199763</v>
          </cell>
        </row>
        <row r="52">
          <cell r="L52">
            <v>119840.42740168481</v>
          </cell>
        </row>
        <row r="53">
          <cell r="L53">
            <v>50180.777607022035</v>
          </cell>
        </row>
        <row r="54">
          <cell r="L54">
            <v>162178.65255052669</v>
          </cell>
        </row>
        <row r="55">
          <cell r="L55">
            <v>22547.417720409179</v>
          </cell>
        </row>
        <row r="56">
          <cell r="L56">
            <v>29627.26956354353</v>
          </cell>
        </row>
        <row r="57">
          <cell r="L57">
            <v>25341.420992773466</v>
          </cell>
        </row>
        <row r="58">
          <cell r="L58">
            <v>24991.92001654713</v>
          </cell>
        </row>
        <row r="59">
          <cell r="L59">
            <v>21955.920479780973</v>
          </cell>
        </row>
        <row r="60">
          <cell r="L60">
            <v>18001.303422733472</v>
          </cell>
        </row>
        <row r="62">
          <cell r="L62">
            <v>19383.022421833692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tabSelected="1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V11" sqref="V11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70" hidden="1" customWidth="1"/>
    <col min="4" max="4" width="12.7109375" style="70" hidden="1" customWidth="1"/>
    <col min="5" max="5" width="10.5703125" style="70" hidden="1" customWidth="1"/>
    <col min="6" max="6" width="11.42578125" style="70" hidden="1" customWidth="1"/>
    <col min="7" max="9" width="13.7109375" style="71" customWidth="1"/>
    <col min="10" max="10" width="13.140625" style="71" customWidth="1"/>
    <col min="11" max="12" width="14.42578125" style="71" customWidth="1"/>
    <col min="13" max="13" width="15.7109375" style="71" customWidth="1"/>
    <col min="14" max="14" width="12.140625" style="139" customWidth="1"/>
    <col min="15" max="17" width="12.28515625" style="72" customWidth="1"/>
    <col min="18" max="18" width="11.85546875" style="72" customWidth="1"/>
    <col min="19" max="19" width="11" style="72" hidden="1" customWidth="1"/>
    <col min="20" max="21" width="10.7109375" style="72" hidden="1" customWidth="1"/>
    <col min="22" max="22" width="17.85546875" style="4" customWidth="1"/>
    <col min="23" max="23" width="0.140625" customWidth="1"/>
    <col min="24" max="24" width="11.42578125" hidden="1" customWidth="1"/>
    <col min="25" max="25" width="12.140625" hidden="1" customWidth="1"/>
  </cols>
  <sheetData>
    <row r="1" spans="1:25" ht="20.25" x14ac:dyDescent="0.3">
      <c r="A1" s="1"/>
      <c r="B1" s="152" t="s">
        <v>85</v>
      </c>
      <c r="C1" s="152"/>
      <c r="D1" s="152"/>
      <c r="E1" s="152"/>
      <c r="F1" s="152"/>
      <c r="G1" s="152"/>
      <c r="H1" s="152"/>
      <c r="I1" s="152"/>
      <c r="J1" s="152"/>
      <c r="K1" s="152"/>
      <c r="L1" s="2"/>
      <c r="M1" s="3"/>
      <c r="N1" s="127"/>
      <c r="O1" s="2"/>
      <c r="P1" s="2"/>
      <c r="Q1" s="2"/>
      <c r="R1" s="2"/>
      <c r="S1" s="2"/>
      <c r="T1" s="2"/>
      <c r="U1" s="2"/>
    </row>
    <row r="2" spans="1:25" ht="15.75" x14ac:dyDescent="0.25">
      <c r="B2" s="153">
        <v>45581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5"/>
      <c r="R2" s="6"/>
      <c r="S2" s="7"/>
      <c r="T2" s="7"/>
      <c r="U2" s="7"/>
      <c r="V2" s="119" t="s">
        <v>81</v>
      </c>
    </row>
    <row r="3" spans="1:25" ht="15.75" x14ac:dyDescent="0.25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155" t="s">
        <v>3</v>
      </c>
      <c r="J3" s="156"/>
      <c r="K3" s="157"/>
      <c r="L3" s="156" t="s">
        <v>4</v>
      </c>
      <c r="M3" s="160" t="s">
        <v>5</v>
      </c>
      <c r="N3" s="161"/>
      <c r="O3" s="161"/>
      <c r="P3" s="161"/>
      <c r="Q3" s="161"/>
      <c r="R3" s="162"/>
      <c r="S3" s="177"/>
      <c r="T3" s="171"/>
      <c r="U3" s="171"/>
      <c r="V3" s="174" t="s">
        <v>6</v>
      </c>
    </row>
    <row r="4" spans="1:25" ht="2.25" customHeight="1" x14ac:dyDescent="0.25">
      <c r="A4" s="12"/>
      <c r="B4" s="166"/>
      <c r="C4" s="166"/>
      <c r="D4" s="166"/>
      <c r="E4" s="166"/>
      <c r="F4" s="166"/>
      <c r="G4" s="166"/>
      <c r="H4" s="166"/>
      <c r="I4" s="166"/>
      <c r="J4" s="166"/>
      <c r="K4" s="13"/>
      <c r="L4" s="158"/>
      <c r="M4" s="14"/>
      <c r="N4" s="128"/>
      <c r="O4" s="14"/>
      <c r="P4" s="14"/>
      <c r="Q4" s="14"/>
      <c r="R4" s="14"/>
      <c r="S4" s="178"/>
      <c r="T4" s="172"/>
      <c r="U4" s="172"/>
      <c r="V4" s="175"/>
    </row>
    <row r="5" spans="1:25" ht="15" hidden="1" customHeight="1" x14ac:dyDescent="0.25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158"/>
      <c r="M5" s="14"/>
      <c r="N5" s="128"/>
      <c r="O5" s="14"/>
      <c r="P5" s="14"/>
      <c r="Q5" s="14"/>
      <c r="R5" s="14"/>
      <c r="S5" s="178"/>
      <c r="T5" s="172"/>
      <c r="U5" s="172"/>
      <c r="V5" s="175"/>
    </row>
    <row r="6" spans="1:25" ht="30" customHeight="1" x14ac:dyDescent="0.25">
      <c r="A6" s="17"/>
      <c r="B6" s="18"/>
      <c r="C6" s="19"/>
      <c r="D6" s="167" t="s">
        <v>11</v>
      </c>
      <c r="E6" s="167"/>
      <c r="F6" s="167"/>
      <c r="G6" s="20" t="s">
        <v>12</v>
      </c>
      <c r="H6" s="20"/>
      <c r="I6" s="168" t="s">
        <v>13</v>
      </c>
      <c r="J6" s="168"/>
      <c r="K6" s="168"/>
      <c r="L6" s="158"/>
      <c r="M6" s="160" t="s">
        <v>14</v>
      </c>
      <c r="N6" s="161"/>
      <c r="O6" s="161"/>
      <c r="P6" s="161"/>
      <c r="Q6" s="162"/>
      <c r="R6" s="169" t="s">
        <v>86</v>
      </c>
      <c r="S6" s="178"/>
      <c r="T6" s="172"/>
      <c r="U6" s="172"/>
      <c r="V6" s="175"/>
    </row>
    <row r="7" spans="1:25" ht="53.25" customHeight="1" x14ac:dyDescent="0.25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16</v>
      </c>
      <c r="H7" s="20">
        <v>113</v>
      </c>
      <c r="I7" s="20">
        <v>121</v>
      </c>
      <c r="J7" s="20">
        <v>122</v>
      </c>
      <c r="K7" s="20">
        <v>124</v>
      </c>
      <c r="L7" s="159"/>
      <c r="M7" s="20" t="s">
        <v>17</v>
      </c>
      <c r="N7" s="129" t="s">
        <v>18</v>
      </c>
      <c r="O7" s="21" t="s">
        <v>19</v>
      </c>
      <c r="P7" s="21" t="s">
        <v>20</v>
      </c>
      <c r="Q7" s="21" t="s">
        <v>21</v>
      </c>
      <c r="R7" s="170"/>
      <c r="S7" s="179"/>
      <c r="T7" s="173"/>
      <c r="U7" s="173"/>
      <c r="V7" s="176"/>
    </row>
    <row r="8" spans="1:25" s="33" customFormat="1" ht="16.5" customHeight="1" x14ac:dyDescent="0.25">
      <c r="A8" s="22">
        <v>1</v>
      </c>
      <c r="B8" s="23" t="s">
        <v>22</v>
      </c>
      <c r="C8" s="24">
        <f>'[1]Свод '!$J$6/1000</f>
        <v>12873.16800737935</v>
      </c>
      <c r="D8" s="25">
        <f>(C8-C8*10%)*6%</f>
        <v>695.15107239848487</v>
      </c>
      <c r="E8" s="25">
        <f>(C8-C8*10%)*3.5%</f>
        <v>405.50479223244957</v>
      </c>
      <c r="F8" s="25">
        <f>C8*2%</f>
        <v>257.46336014758703</v>
      </c>
      <c r="G8" s="26">
        <f>'[3]Свод '!$L$7</f>
        <v>220041.39511274965</v>
      </c>
      <c r="H8" s="26">
        <f>G8/12</f>
        <v>18336.782926062471</v>
      </c>
      <c r="I8" s="26">
        <f>(G8-G8*10%)*6%</f>
        <v>11882.235336088481</v>
      </c>
      <c r="J8" s="26">
        <f>(G8-G8*10%)*3.5%</f>
        <v>6931.3039460516147</v>
      </c>
      <c r="K8" s="26">
        <f>G8*3%</f>
        <v>6601.2418533824894</v>
      </c>
      <c r="L8" s="26">
        <f>G8+I8+J8+K8+H8</f>
        <v>263792.95917433471</v>
      </c>
      <c r="M8" s="26">
        <f>[2]Лист2!$AC$9</f>
        <v>5736.48</v>
      </c>
      <c r="N8" s="130">
        <v>1013.9</v>
      </c>
      <c r="O8" s="27">
        <f>1120+368</f>
        <v>1488</v>
      </c>
      <c r="P8" s="27">
        <v>62.5</v>
      </c>
      <c r="Q8" s="27"/>
      <c r="R8" s="28"/>
      <c r="S8" s="29"/>
      <c r="T8" s="30"/>
      <c r="U8" s="30"/>
      <c r="V8" s="31">
        <f>L8+M8+N8+O8+P8+S8+R8+T8+U8+Q8</f>
        <v>272093.83917433472</v>
      </c>
      <c r="W8" s="33">
        <f>M8/7</f>
        <v>819.49714285714276</v>
      </c>
      <c r="X8" s="34" t="e">
        <f>#REF!+#REF!+#REF!+#REF!</f>
        <v>#REF!</v>
      </c>
      <c r="Y8" s="32" t="e">
        <f>V8-X8</f>
        <v>#REF!</v>
      </c>
    </row>
    <row r="9" spans="1:25" s="33" customFormat="1" ht="15.75" customHeight="1" x14ac:dyDescent="0.25">
      <c r="A9" s="35">
        <v>2</v>
      </c>
      <c r="B9" s="23" t="s">
        <v>23</v>
      </c>
      <c r="C9" s="25">
        <f>'[1]Свод '!$J$7/1000</f>
        <v>12013.720855255393</v>
      </c>
      <c r="D9" s="25">
        <f t="shared" ref="D9:D64" si="0">(C9-C9*10%)*6%</f>
        <v>648.7409261837912</v>
      </c>
      <c r="E9" s="25">
        <f t="shared" ref="E9:E64" si="1">(C9-C9*10%)*3.5%</f>
        <v>378.43220694054492</v>
      </c>
      <c r="F9" s="25">
        <f t="shared" ref="F9:F64" si="2">C9*2%</f>
        <v>240.27441710510786</v>
      </c>
      <c r="G9" s="26">
        <f>'[3]Свод '!$L$8</f>
        <v>194203.78294095004</v>
      </c>
      <c r="H9" s="26">
        <f t="shared" ref="H9:H64" si="3">G9/12</f>
        <v>16183.648578412503</v>
      </c>
      <c r="I9" s="26">
        <f t="shared" ref="I9:I64" si="4">(G9-G9*10%)*6%</f>
        <v>10487.004278811301</v>
      </c>
      <c r="J9" s="26">
        <f t="shared" ref="J9:J63" si="5">(G9-G9*10%)*3.5%</f>
        <v>6117.4191626399261</v>
      </c>
      <c r="K9" s="26">
        <f t="shared" ref="K9:K64" si="6">G9*3%</f>
        <v>5826.1134882285014</v>
      </c>
      <c r="L9" s="26">
        <f t="shared" ref="L9:L64" si="7">G9+I9+J9+K9+H9</f>
        <v>232817.9684490423</v>
      </c>
      <c r="M9" s="36"/>
      <c r="N9" s="125">
        <v>1315</v>
      </c>
      <c r="O9" s="37">
        <f>848.5+128+276+92</f>
        <v>1344.5</v>
      </c>
      <c r="P9" s="27">
        <v>187.5</v>
      </c>
      <c r="Q9" s="27"/>
      <c r="R9" s="28">
        <f>5924*205/1000</f>
        <v>1214.42</v>
      </c>
      <c r="S9" s="29"/>
      <c r="T9" s="30"/>
      <c r="U9" s="30"/>
      <c r="V9" s="31">
        <f t="shared" ref="V9:V35" si="8">L9+M9+N9+O9+P9+S9+R9+T9+U9+Q9</f>
        <v>236879.38844904231</v>
      </c>
      <c r="W9" s="33">
        <f>M9/7</f>
        <v>0</v>
      </c>
      <c r="X9" s="34" t="e">
        <f>#REF!+#REF!+#REF!+#REF!</f>
        <v>#REF!</v>
      </c>
      <c r="Y9" s="32" t="e">
        <f>V9-X9</f>
        <v>#REF!</v>
      </c>
    </row>
    <row r="10" spans="1:25" s="33" customFormat="1" ht="15.75" customHeight="1" x14ac:dyDescent="0.25">
      <c r="A10" s="38">
        <v>3</v>
      </c>
      <c r="B10" s="23" t="s">
        <v>24</v>
      </c>
      <c r="C10" s="25">
        <v>14856.9</v>
      </c>
      <c r="D10" s="25">
        <f t="shared" si="0"/>
        <v>802.2725999999999</v>
      </c>
      <c r="E10" s="25">
        <f t="shared" si="1"/>
        <v>467.99234999999999</v>
      </c>
      <c r="F10" s="25">
        <f t="shared" si="2"/>
        <v>297.13799999999998</v>
      </c>
      <c r="G10" s="26">
        <f>'[3]Свод '!$L$11</f>
        <v>267567.84834578534</v>
      </c>
      <c r="H10" s="26">
        <f t="shared" si="3"/>
        <v>22297.320695482111</v>
      </c>
      <c r="I10" s="26">
        <f t="shared" si="4"/>
        <v>14448.663810672408</v>
      </c>
      <c r="J10" s="26">
        <f t="shared" si="5"/>
        <v>8428.3872228922392</v>
      </c>
      <c r="K10" s="26">
        <f t="shared" si="6"/>
        <v>8027.0354503735598</v>
      </c>
      <c r="L10" s="26">
        <f t="shared" si="7"/>
        <v>320769.25552520569</v>
      </c>
      <c r="M10" s="36">
        <v>8542</v>
      </c>
      <c r="N10" s="131">
        <v>3050</v>
      </c>
      <c r="O10" s="37">
        <f>403+284+184+92</f>
        <v>963</v>
      </c>
      <c r="P10" s="27">
        <v>180</v>
      </c>
      <c r="Q10" s="27">
        <v>195</v>
      </c>
      <c r="R10" s="44">
        <v>1400</v>
      </c>
      <c r="S10" s="29"/>
      <c r="T10" s="30"/>
      <c r="U10" s="30"/>
      <c r="V10" s="31">
        <f t="shared" si="8"/>
        <v>335099.25552520569</v>
      </c>
      <c r="W10" s="33">
        <f>M10/7</f>
        <v>1220.2857142857142</v>
      </c>
      <c r="X10" s="34" t="e">
        <f>#REF!+#REF!+#REF!+#REF!</f>
        <v>#REF!</v>
      </c>
      <c r="Y10" s="32" t="e">
        <f>V10-X10</f>
        <v>#REF!</v>
      </c>
    </row>
    <row r="11" spans="1:25" s="33" customFormat="1" ht="15.75" customHeight="1" x14ac:dyDescent="0.25">
      <c r="A11" s="38">
        <v>4</v>
      </c>
      <c r="B11" s="124" t="s">
        <v>25</v>
      </c>
      <c r="C11" s="25">
        <f>'[1]Свод '!$J$8/1000</f>
        <v>8629.2712720314339</v>
      </c>
      <c r="D11" s="25">
        <f t="shared" si="0"/>
        <v>465.98064868969738</v>
      </c>
      <c r="E11" s="25">
        <f t="shared" si="1"/>
        <v>271.82204506899018</v>
      </c>
      <c r="F11" s="25">
        <f t="shared" si="2"/>
        <v>172.58542544062868</v>
      </c>
      <c r="G11" s="26">
        <f>'[3]Свод '!$L$9</f>
        <v>136985.4294746792</v>
      </c>
      <c r="H11" s="26">
        <f t="shared" si="3"/>
        <v>11415.452456223267</v>
      </c>
      <c r="I11" s="26">
        <f t="shared" si="4"/>
        <v>7397.2131916326762</v>
      </c>
      <c r="J11" s="26">
        <f t="shared" si="5"/>
        <v>4315.041028452395</v>
      </c>
      <c r="K11" s="26">
        <f t="shared" si="6"/>
        <v>4109.5628842403758</v>
      </c>
      <c r="L11" s="26">
        <f t="shared" si="7"/>
        <v>164222.69903522791</v>
      </c>
      <c r="M11" s="36">
        <f>[2]Лист2!$AC$10</f>
        <v>6109.44</v>
      </c>
      <c r="N11" s="125">
        <v>1388</v>
      </c>
      <c r="O11" s="37">
        <v>184</v>
      </c>
      <c r="P11" s="27">
        <v>62.5</v>
      </c>
      <c r="Q11" s="27"/>
      <c r="R11" s="28">
        <f>3168*205/1000</f>
        <v>649.44000000000005</v>
      </c>
      <c r="S11" s="29"/>
      <c r="T11" s="30"/>
      <c r="U11" s="30"/>
      <c r="V11" s="31">
        <f t="shared" si="8"/>
        <v>172616.07903522791</v>
      </c>
      <c r="W11" s="33">
        <f>M11/7</f>
        <v>872.77714285714285</v>
      </c>
      <c r="X11" s="34" t="e">
        <f>#REF!+#REF!+#REF!+#REF!</f>
        <v>#REF!</v>
      </c>
      <c r="Y11" s="32" t="e">
        <f>V11-X11</f>
        <v>#REF!</v>
      </c>
    </row>
    <row r="12" spans="1:25" s="33" customFormat="1" ht="15.75" customHeight="1" x14ac:dyDescent="0.25">
      <c r="A12" s="38">
        <v>5</v>
      </c>
      <c r="B12" s="23" t="s">
        <v>26</v>
      </c>
      <c r="C12" s="25">
        <f>'[1]Свод '!$J$9/1000</f>
        <v>7625.1002980835156</v>
      </c>
      <c r="D12" s="25">
        <f t="shared" si="0"/>
        <v>411.7554160965098</v>
      </c>
      <c r="E12" s="25">
        <f t="shared" si="1"/>
        <v>240.19065938963075</v>
      </c>
      <c r="F12" s="25">
        <f t="shared" si="2"/>
        <v>152.50200596167031</v>
      </c>
      <c r="G12" s="26">
        <f>'[3]Свод '!$L$10</f>
        <v>155556.0151411012</v>
      </c>
      <c r="H12" s="26">
        <f t="shared" si="3"/>
        <v>12963.001261758434</v>
      </c>
      <c r="I12" s="26">
        <f t="shared" si="4"/>
        <v>8400.0248176194655</v>
      </c>
      <c r="J12" s="26">
        <f t="shared" si="5"/>
        <v>4900.0144769446888</v>
      </c>
      <c r="K12" s="26">
        <f t="shared" si="6"/>
        <v>4666.6804542330356</v>
      </c>
      <c r="L12" s="26">
        <f t="shared" si="7"/>
        <v>186485.73615165683</v>
      </c>
      <c r="M12" s="36">
        <f>[2]Лист2!$AC$13</f>
        <v>7521.36</v>
      </c>
      <c r="N12" s="125">
        <v>1783.2</v>
      </c>
      <c r="O12" s="37">
        <f>1120.2+276+92</f>
        <v>1488.2</v>
      </c>
      <c r="P12" s="27">
        <v>88</v>
      </c>
      <c r="Q12" s="27">
        <v>145</v>
      </c>
      <c r="R12" s="28"/>
      <c r="S12" s="29"/>
      <c r="T12" s="30"/>
      <c r="U12" s="30"/>
      <c r="V12" s="31">
        <f t="shared" si="8"/>
        <v>197511.49615165684</v>
      </c>
      <c r="W12" s="33">
        <f>M12/7</f>
        <v>1074.48</v>
      </c>
      <c r="X12" s="34" t="e">
        <f>#REF!+#REF!+#REF!+#REF!</f>
        <v>#REF!</v>
      </c>
      <c r="Y12" s="32" t="e">
        <f>V12-X12</f>
        <v>#REF!</v>
      </c>
    </row>
    <row r="13" spans="1:25" s="33" customFormat="1" ht="15.75" customHeight="1" x14ac:dyDescent="0.25">
      <c r="A13" s="38">
        <v>6</v>
      </c>
      <c r="B13" s="23" t="s">
        <v>27</v>
      </c>
      <c r="C13" s="25">
        <f>'[1]Свод '!$J$11/1000</f>
        <v>9385.1176688126852</v>
      </c>
      <c r="D13" s="25">
        <f>(C13-C13*10%)*6%</f>
        <v>506.79635411588492</v>
      </c>
      <c r="E13" s="25">
        <f t="shared" si="1"/>
        <v>295.63120656759958</v>
      </c>
      <c r="F13" s="25">
        <f t="shared" si="2"/>
        <v>187.70235337625371</v>
      </c>
      <c r="G13" s="26">
        <f>'[3]Свод '!$L$12</f>
        <v>180221.56577603417</v>
      </c>
      <c r="H13" s="26">
        <f t="shared" si="3"/>
        <v>15018.463814669514</v>
      </c>
      <c r="I13" s="26">
        <f t="shared" si="4"/>
        <v>9731.9645519058449</v>
      </c>
      <c r="J13" s="26">
        <f t="shared" si="5"/>
        <v>5676.9793219450767</v>
      </c>
      <c r="K13" s="26">
        <f t="shared" si="6"/>
        <v>5406.6469732810247</v>
      </c>
      <c r="L13" s="26">
        <f t="shared" si="7"/>
        <v>216055.62043783563</v>
      </c>
      <c r="M13" s="36">
        <f>[2]Лист2!$AC$14</f>
        <v>5721.6800000000012</v>
      </c>
      <c r="N13" s="125">
        <v>1214.9000000000001</v>
      </c>
      <c r="O13" s="37">
        <f>360+184</f>
        <v>544</v>
      </c>
      <c r="P13" s="27">
        <v>75</v>
      </c>
      <c r="Q13" s="27"/>
      <c r="R13" s="28"/>
      <c r="S13" s="29"/>
      <c r="T13" s="30"/>
      <c r="U13" s="30"/>
      <c r="V13" s="31">
        <f t="shared" si="8"/>
        <v>223611.20043783562</v>
      </c>
      <c r="W13" s="33">
        <f>M13/7</f>
        <v>817.38285714285735</v>
      </c>
      <c r="X13" s="34" t="e">
        <f>#REF!+#REF!+#REF!+#REF!</f>
        <v>#REF!</v>
      </c>
      <c r="Y13" s="32" t="e">
        <f>V13-X13</f>
        <v>#REF!</v>
      </c>
    </row>
    <row r="14" spans="1:25" s="33" customFormat="1" ht="15.75" customHeight="1" x14ac:dyDescent="0.25">
      <c r="A14" s="38">
        <v>7</v>
      </c>
      <c r="B14" s="124" t="s">
        <v>28</v>
      </c>
      <c r="C14" s="25">
        <f>'[1]Свод '!$J$12/1000</f>
        <v>7425.1813609999999</v>
      </c>
      <c r="D14" s="25">
        <f t="shared" si="0"/>
        <v>400.95979349399994</v>
      </c>
      <c r="E14" s="25">
        <f t="shared" si="1"/>
        <v>233.8932128715</v>
      </c>
      <c r="F14" s="25">
        <f t="shared" si="2"/>
        <v>148.50362722</v>
      </c>
      <c r="G14" s="26">
        <f>'[3]Свод '!$L$13</f>
        <v>131013.04348395864</v>
      </c>
      <c r="H14" s="26">
        <f t="shared" si="3"/>
        <v>10917.75362366322</v>
      </c>
      <c r="I14" s="26">
        <f t="shared" si="4"/>
        <v>7074.704348133766</v>
      </c>
      <c r="J14" s="26">
        <f t="shared" si="5"/>
        <v>4126.9108697446973</v>
      </c>
      <c r="K14" s="26">
        <f t="shared" si="6"/>
        <v>3930.3913045187592</v>
      </c>
      <c r="L14" s="26">
        <f t="shared" si="7"/>
        <v>157062.80363001907</v>
      </c>
      <c r="M14" s="36">
        <f>[2]Лист2!$AC$16</f>
        <v>5322.08</v>
      </c>
      <c r="N14" s="125">
        <v>965.2</v>
      </c>
      <c r="O14" s="37">
        <v>184</v>
      </c>
      <c r="P14" s="27">
        <v>100</v>
      </c>
      <c r="Q14" s="27"/>
      <c r="R14" s="28"/>
      <c r="S14" s="29"/>
      <c r="T14" s="30"/>
      <c r="U14" s="30"/>
      <c r="V14" s="31">
        <f t="shared" si="8"/>
        <v>163634.08363001907</v>
      </c>
      <c r="W14" s="33">
        <f>M14/7</f>
        <v>760.29714285714283</v>
      </c>
      <c r="X14" s="34" t="e">
        <f>#REF!+#REF!+#REF!+#REF!</f>
        <v>#REF!</v>
      </c>
      <c r="Y14" s="32" t="e">
        <f>V14-X14</f>
        <v>#REF!</v>
      </c>
    </row>
    <row r="15" spans="1:25" s="33" customFormat="1" ht="15.75" customHeight="1" x14ac:dyDescent="0.25">
      <c r="A15" s="22">
        <v>8</v>
      </c>
      <c r="B15" s="23" t="s">
        <v>29</v>
      </c>
      <c r="C15" s="25">
        <f>'[1]Свод '!$J$13/1000</f>
        <v>13746.1794028856</v>
      </c>
      <c r="D15" s="25">
        <f t="shared" si="0"/>
        <v>742.29368775582248</v>
      </c>
      <c r="E15" s="25">
        <f t="shared" si="1"/>
        <v>433.00465119089648</v>
      </c>
      <c r="F15" s="25">
        <f t="shared" si="2"/>
        <v>274.92358805771204</v>
      </c>
      <c r="G15" s="26">
        <f>'[3]Свод '!$L$15</f>
        <v>235345.19637271608</v>
      </c>
      <c r="H15" s="26">
        <f t="shared" si="3"/>
        <v>19612.099697726338</v>
      </c>
      <c r="I15" s="26">
        <f t="shared" si="4"/>
        <v>12708.640604126667</v>
      </c>
      <c r="J15" s="26">
        <f t="shared" si="5"/>
        <v>7413.3736857405565</v>
      </c>
      <c r="K15" s="26">
        <f t="shared" si="6"/>
        <v>7060.3558911814816</v>
      </c>
      <c r="L15" s="26">
        <f t="shared" si="7"/>
        <v>282139.66625149111</v>
      </c>
      <c r="M15" s="36">
        <f>[2]Лист2!$AC$15</f>
        <v>12608.712</v>
      </c>
      <c r="N15" s="131">
        <v>3386.2</v>
      </c>
      <c r="O15" s="37">
        <f>284+276</f>
        <v>560</v>
      </c>
      <c r="P15" s="27"/>
      <c r="Q15" s="27"/>
      <c r="R15" s="39">
        <v>1573</v>
      </c>
      <c r="S15" s="29"/>
      <c r="T15" s="30"/>
      <c r="U15" s="30"/>
      <c r="V15" s="31">
        <f t="shared" si="8"/>
        <v>300267.57825149113</v>
      </c>
      <c r="W15" s="33">
        <f>M15/7</f>
        <v>1801.2445714285714</v>
      </c>
      <c r="X15" s="34" t="e">
        <f>#REF!+#REF!+#REF!+#REF!</f>
        <v>#REF!</v>
      </c>
      <c r="Y15" s="32" t="e">
        <f>V15-X15</f>
        <v>#REF!</v>
      </c>
    </row>
    <row r="16" spans="1:25" s="33" customFormat="1" ht="15.75" customHeight="1" x14ac:dyDescent="0.25">
      <c r="A16" s="35">
        <v>9</v>
      </c>
      <c r="B16" s="23" t="s">
        <v>30</v>
      </c>
      <c r="C16" s="25">
        <f>'[1]Свод '!$J$15/1000</f>
        <v>7837.6380911145825</v>
      </c>
      <c r="D16" s="25">
        <f t="shared" si="0"/>
        <v>423.23245692018742</v>
      </c>
      <c r="E16" s="25">
        <f t="shared" si="1"/>
        <v>246.88559987010936</v>
      </c>
      <c r="F16" s="25">
        <f t="shared" si="2"/>
        <v>156.75276182229166</v>
      </c>
      <c r="G16" s="26">
        <f>'[3]Свод '!$L$17</f>
        <v>138942.13293177038</v>
      </c>
      <c r="H16" s="26">
        <f t="shared" si="3"/>
        <v>11578.511077647532</v>
      </c>
      <c r="I16" s="26">
        <f t="shared" si="4"/>
        <v>7502.8751783155994</v>
      </c>
      <c r="J16" s="26">
        <f t="shared" si="5"/>
        <v>4376.6771873507669</v>
      </c>
      <c r="K16" s="26">
        <f t="shared" si="6"/>
        <v>4168.2639879531116</v>
      </c>
      <c r="L16" s="26">
        <f t="shared" si="7"/>
        <v>166568.46036303736</v>
      </c>
      <c r="M16" s="36">
        <f>[2]Лист2!$AC$17</f>
        <v>9939.68</v>
      </c>
      <c r="N16" s="125">
        <v>1447.8</v>
      </c>
      <c r="O16" s="37">
        <f>432+276</f>
        <v>708</v>
      </c>
      <c r="P16" s="27">
        <v>88</v>
      </c>
      <c r="Q16" s="27"/>
      <c r="R16" s="28">
        <f>12020*205/1000</f>
        <v>2464.1</v>
      </c>
      <c r="S16" s="29"/>
      <c r="T16" s="30"/>
      <c r="U16" s="30"/>
      <c r="V16" s="31">
        <f t="shared" si="8"/>
        <v>181216.04036303735</v>
      </c>
      <c r="W16" s="33">
        <f>M16/7</f>
        <v>1419.9542857142858</v>
      </c>
      <c r="X16" s="34" t="e">
        <f>#REF!+#REF!+#REF!+#REF!</f>
        <v>#REF!</v>
      </c>
      <c r="Y16" s="32" t="e">
        <f>V16-X16</f>
        <v>#REF!</v>
      </c>
    </row>
    <row r="17" spans="1:25" s="33" customFormat="1" ht="15.75" customHeight="1" x14ac:dyDescent="0.25">
      <c r="A17" s="38">
        <v>10</v>
      </c>
      <c r="B17" s="23" t="s">
        <v>31</v>
      </c>
      <c r="C17" s="25">
        <v>15765</v>
      </c>
      <c r="D17" s="25">
        <f t="shared" si="0"/>
        <v>851.31</v>
      </c>
      <c r="E17" s="25">
        <f t="shared" si="1"/>
        <v>496.59750000000003</v>
      </c>
      <c r="F17" s="25">
        <f t="shared" si="2"/>
        <v>315.3</v>
      </c>
      <c r="G17" s="26">
        <f>'[3]Свод '!$L$16</f>
        <v>282527.62580778258</v>
      </c>
      <c r="H17" s="26">
        <f t="shared" si="3"/>
        <v>23543.968817315214</v>
      </c>
      <c r="I17" s="26">
        <f t="shared" si="4"/>
        <v>15256.491793620258</v>
      </c>
      <c r="J17" s="26">
        <f t="shared" si="5"/>
        <v>8899.6202129451522</v>
      </c>
      <c r="K17" s="26">
        <f t="shared" si="6"/>
        <v>8475.8287742334778</v>
      </c>
      <c r="L17" s="26">
        <f t="shared" si="7"/>
        <v>338703.53540589672</v>
      </c>
      <c r="M17" s="36">
        <f>[2]Лист2!$AC$18</f>
        <v>6796.16</v>
      </c>
      <c r="N17" s="125">
        <v>2283.3000000000002</v>
      </c>
      <c r="O17" s="37">
        <v>1238</v>
      </c>
      <c r="P17" s="27">
        <v>100</v>
      </c>
      <c r="Q17" s="27">
        <v>168</v>
      </c>
      <c r="R17" s="45">
        <v>2100</v>
      </c>
      <c r="S17" s="29"/>
      <c r="T17" s="30"/>
      <c r="U17" s="30"/>
      <c r="V17" s="31">
        <f t="shared" si="8"/>
        <v>351388.99540589668</v>
      </c>
      <c r="W17" s="33">
        <f>M17/7</f>
        <v>970.88</v>
      </c>
      <c r="X17" s="34" t="e">
        <f>#REF!+#REF!+#REF!+#REF!</f>
        <v>#REF!</v>
      </c>
      <c r="Y17" s="32" t="e">
        <f>V17-X17</f>
        <v>#REF!</v>
      </c>
    </row>
    <row r="18" spans="1:25" s="33" customFormat="1" ht="15.75" customHeight="1" x14ac:dyDescent="0.25">
      <c r="A18" s="38">
        <v>11</v>
      </c>
      <c r="B18" s="23" t="s">
        <v>32</v>
      </c>
      <c r="C18" s="25">
        <v>29225.200000000001</v>
      </c>
      <c r="D18" s="25">
        <f t="shared" si="0"/>
        <v>1578.1607999999999</v>
      </c>
      <c r="E18" s="25">
        <f t="shared" si="1"/>
        <v>920.5938000000001</v>
      </c>
      <c r="F18" s="25">
        <f t="shared" si="2"/>
        <v>584.50400000000002</v>
      </c>
      <c r="G18" s="26">
        <f>'[3]Свод '!$L$18</f>
        <v>466980.26763181866</v>
      </c>
      <c r="H18" s="26">
        <f t="shared" si="3"/>
        <v>38915.022302651552</v>
      </c>
      <c r="I18" s="26">
        <f t="shared" si="4"/>
        <v>25216.934452118203</v>
      </c>
      <c r="J18" s="26">
        <f t="shared" si="5"/>
        <v>14709.878430402288</v>
      </c>
      <c r="K18" s="26">
        <f t="shared" si="6"/>
        <v>14009.40802895456</v>
      </c>
      <c r="L18" s="26">
        <f t="shared" si="7"/>
        <v>559831.51084594533</v>
      </c>
      <c r="M18" s="36">
        <v>8971.5</v>
      </c>
      <c r="N18" s="126">
        <v>3056</v>
      </c>
      <c r="O18" s="37">
        <f>2987+460</f>
        <v>3447</v>
      </c>
      <c r="P18" s="27">
        <v>870</v>
      </c>
      <c r="Q18" s="27">
        <v>170</v>
      </c>
      <c r="R18" s="28"/>
      <c r="S18" s="29"/>
      <c r="T18" s="30"/>
      <c r="U18" s="30"/>
      <c r="V18" s="31">
        <f t="shared" si="8"/>
        <v>576346.01084594533</v>
      </c>
      <c r="W18" s="33">
        <f>M18/7</f>
        <v>1281.6428571428571</v>
      </c>
      <c r="X18" s="34" t="e">
        <f>#REF!+#REF!+#REF!+#REF!</f>
        <v>#REF!</v>
      </c>
      <c r="Y18" s="32" t="e">
        <f>V18-X18</f>
        <v>#REF!</v>
      </c>
    </row>
    <row r="19" spans="1:25" s="33" customFormat="1" ht="45.75" customHeight="1" x14ac:dyDescent="0.25">
      <c r="A19" s="38">
        <v>12</v>
      </c>
      <c r="B19" s="73" t="s">
        <v>33</v>
      </c>
      <c r="C19" s="25">
        <f>'[1]Свод '!$J$17/1000</f>
        <v>15896.303081448099</v>
      </c>
      <c r="D19" s="25">
        <f t="shared" si="0"/>
        <v>858.40036639819732</v>
      </c>
      <c r="E19" s="25">
        <f t="shared" si="1"/>
        <v>500.7335470656152</v>
      </c>
      <c r="F19" s="25">
        <f t="shared" si="2"/>
        <v>317.92606162896197</v>
      </c>
      <c r="G19" s="40">
        <f>'[3]Свод '!$L$19</f>
        <v>501501.71133208252</v>
      </c>
      <c r="H19" s="26">
        <f t="shared" si="3"/>
        <v>41791.809277673543</v>
      </c>
      <c r="I19" s="26">
        <f t="shared" si="4"/>
        <v>27081.092411932455</v>
      </c>
      <c r="J19" s="40">
        <f t="shared" si="5"/>
        <v>15797.3039069606</v>
      </c>
      <c r="K19" s="26">
        <f t="shared" si="6"/>
        <v>15045.051339962474</v>
      </c>
      <c r="L19" s="26">
        <f t="shared" si="7"/>
        <v>601216.9682686117</v>
      </c>
      <c r="M19" s="31">
        <v>13213.6</v>
      </c>
      <c r="N19" s="132">
        <v>9231.7000000000007</v>
      </c>
      <c r="O19" s="42">
        <v>3001</v>
      </c>
      <c r="P19" s="43">
        <v>640</v>
      </c>
      <c r="Q19" s="43">
        <v>190</v>
      </c>
      <c r="R19" s="74">
        <f>19079*205/1000</f>
        <v>3911.1950000000002</v>
      </c>
      <c r="S19" s="75"/>
      <c r="T19" s="76"/>
      <c r="U19" s="76"/>
      <c r="V19" s="31">
        <f t="shared" si="8"/>
        <v>631404.46326861158</v>
      </c>
      <c r="W19" s="33">
        <f>M19/7</f>
        <v>1887.6571428571428</v>
      </c>
      <c r="X19" s="34" t="e">
        <f>#REF!+#REF!+#REF!+#REF!</f>
        <v>#REF!</v>
      </c>
      <c r="Y19" s="32" t="e">
        <f>V19-X19</f>
        <v>#REF!</v>
      </c>
    </row>
    <row r="20" spans="1:25" s="33" customFormat="1" ht="15.75" customHeight="1" x14ac:dyDescent="0.25">
      <c r="A20" s="38">
        <v>13</v>
      </c>
      <c r="B20" s="23" t="s">
        <v>34</v>
      </c>
      <c r="C20" s="25">
        <v>11082.2</v>
      </c>
      <c r="D20" s="25">
        <f t="shared" si="0"/>
        <v>598.43880000000001</v>
      </c>
      <c r="E20" s="25">
        <f t="shared" si="1"/>
        <v>349.08930000000009</v>
      </c>
      <c r="F20" s="25">
        <f t="shared" si="2"/>
        <v>221.64400000000001</v>
      </c>
      <c r="G20" s="26">
        <f>'[3]Свод '!$L$20</f>
        <v>204184.60205315254</v>
      </c>
      <c r="H20" s="26">
        <f t="shared" si="3"/>
        <v>17015.383504429377</v>
      </c>
      <c r="I20" s="26">
        <f t="shared" si="4"/>
        <v>11025.968510870236</v>
      </c>
      <c r="J20" s="26">
        <f t="shared" si="5"/>
        <v>6431.814964674305</v>
      </c>
      <c r="K20" s="26">
        <f t="shared" si="6"/>
        <v>6125.538061594576</v>
      </c>
      <c r="L20" s="26">
        <f t="shared" si="7"/>
        <v>244783.30709472101</v>
      </c>
      <c r="M20" s="36">
        <v>9479.6</v>
      </c>
      <c r="N20" s="131">
        <v>2656</v>
      </c>
      <c r="O20" s="37">
        <v>1247</v>
      </c>
      <c r="P20" s="27">
        <v>750</v>
      </c>
      <c r="Q20" s="27">
        <v>190</v>
      </c>
      <c r="R20" s="28"/>
      <c r="S20" s="29"/>
      <c r="T20" s="30"/>
      <c r="U20" s="30"/>
      <c r="V20" s="31">
        <f t="shared" si="8"/>
        <v>259105.90709472101</v>
      </c>
      <c r="W20" s="33">
        <f>M20/7</f>
        <v>1354.2285714285715</v>
      </c>
      <c r="X20" s="34" t="e">
        <f>#REF!+#REF!+#REF!+#REF!</f>
        <v>#REF!</v>
      </c>
      <c r="Y20" s="32" t="e">
        <f>V20-X20</f>
        <v>#REF!</v>
      </c>
    </row>
    <row r="21" spans="1:25" s="33" customFormat="1" ht="15.75" x14ac:dyDescent="0.25">
      <c r="A21" s="38">
        <v>14</v>
      </c>
      <c r="B21" s="124" t="s">
        <v>35</v>
      </c>
      <c r="C21" s="41">
        <f>'[1]Свод '!$J$20/1000</f>
        <v>5306.275801244974</v>
      </c>
      <c r="D21" s="41">
        <f t="shared" si="0"/>
        <v>286.53889326722856</v>
      </c>
      <c r="E21" s="41">
        <f t="shared" si="1"/>
        <v>167.14768773921671</v>
      </c>
      <c r="F21" s="41">
        <f t="shared" si="2"/>
        <v>106.12551602489948</v>
      </c>
      <c r="G21" s="26">
        <f>'[3]Свод '!$L$22</f>
        <v>253978</v>
      </c>
      <c r="H21" s="26">
        <f t="shared" si="3"/>
        <v>21164.833333333332</v>
      </c>
      <c r="I21" s="26">
        <f t="shared" si="4"/>
        <v>13714.812</v>
      </c>
      <c r="J21" s="40">
        <f t="shared" si="5"/>
        <v>8000.3070000000016</v>
      </c>
      <c r="K21" s="26">
        <f t="shared" si="6"/>
        <v>7619.34</v>
      </c>
      <c r="L21" s="26">
        <f t="shared" si="7"/>
        <v>304477.29233333335</v>
      </c>
      <c r="M21" s="31">
        <f>[2]Лист2!$AC$19</f>
        <v>4733.6319999999996</v>
      </c>
      <c r="N21" s="132">
        <v>1279</v>
      </c>
      <c r="O21" s="42">
        <v>184</v>
      </c>
      <c r="P21" s="43">
        <v>150</v>
      </c>
      <c r="Q21" s="43"/>
      <c r="R21" s="28"/>
      <c r="S21" s="29"/>
      <c r="T21" s="30"/>
      <c r="U21" s="30"/>
      <c r="V21" s="31">
        <f t="shared" si="8"/>
        <v>310823.92433333333</v>
      </c>
      <c r="W21" s="33">
        <f>M21/7</f>
        <v>676.23314285714275</v>
      </c>
      <c r="X21" s="34" t="e">
        <f>#REF!+#REF!+#REF!+#REF!</f>
        <v>#REF!</v>
      </c>
      <c r="Y21" s="32" t="e">
        <f>V21-X21</f>
        <v>#REF!</v>
      </c>
    </row>
    <row r="22" spans="1:25" s="33" customFormat="1" ht="15.75" customHeight="1" x14ac:dyDescent="0.25">
      <c r="A22" s="22">
        <v>15</v>
      </c>
      <c r="B22" s="23" t="s">
        <v>36</v>
      </c>
      <c r="C22" s="25">
        <f>'[1]Свод '!$J$19/1000</f>
        <v>7732.1278151980987</v>
      </c>
      <c r="D22" s="25">
        <f t="shared" si="0"/>
        <v>417.5349020206973</v>
      </c>
      <c r="E22" s="25">
        <f t="shared" si="1"/>
        <v>243.56202617874013</v>
      </c>
      <c r="F22" s="25">
        <f t="shared" si="2"/>
        <v>154.64255630396198</v>
      </c>
      <c r="G22" s="26">
        <f>'[3]Свод '!$L$21</f>
        <v>146199.92928748531</v>
      </c>
      <c r="H22" s="26">
        <f t="shared" si="3"/>
        <v>12183.327440623776</v>
      </c>
      <c r="I22" s="26">
        <f t="shared" si="4"/>
        <v>7894.7961815242061</v>
      </c>
      <c r="J22" s="26">
        <f t="shared" si="5"/>
        <v>4605.2977725557876</v>
      </c>
      <c r="K22" s="26">
        <f t="shared" si="6"/>
        <v>4385.9978786245592</v>
      </c>
      <c r="L22" s="26">
        <f t="shared" si="7"/>
        <v>175269.34856081364</v>
      </c>
      <c r="M22" s="36">
        <f>[2]Лист2!$AC$20</f>
        <v>5612.7520000000004</v>
      </c>
      <c r="N22" s="126">
        <v>1828</v>
      </c>
      <c r="O22" s="37">
        <f>403.2+368</f>
        <v>771.2</v>
      </c>
      <c r="P22" s="43">
        <v>125</v>
      </c>
      <c r="Q22" s="43"/>
      <c r="R22" s="44">
        <f>3115*205/1000</f>
        <v>638.57500000000005</v>
      </c>
      <c r="S22" s="29"/>
      <c r="T22" s="30"/>
      <c r="U22" s="30"/>
      <c r="V22" s="31">
        <f t="shared" si="8"/>
        <v>184244.87556081367</v>
      </c>
      <c r="W22" s="33">
        <f>M22/7</f>
        <v>801.82171428571439</v>
      </c>
      <c r="X22" s="34" t="e">
        <f>#REF!+#REF!+#REF!+#REF!</f>
        <v>#REF!</v>
      </c>
      <c r="Y22" s="32" t="e">
        <f>V22-X22</f>
        <v>#REF!</v>
      </c>
    </row>
    <row r="23" spans="1:25" s="33" customFormat="1" ht="15.75" customHeight="1" x14ac:dyDescent="0.25">
      <c r="A23" s="35">
        <v>16</v>
      </c>
      <c r="B23" s="23" t="s">
        <v>37</v>
      </c>
      <c r="C23" s="25">
        <f>'[1]Свод '!$J$23/1000</f>
        <v>14444.194371994976</v>
      </c>
      <c r="D23" s="25">
        <f t="shared" si="0"/>
        <v>779.9864960877286</v>
      </c>
      <c r="E23" s="25">
        <f t="shared" si="1"/>
        <v>454.99212271784177</v>
      </c>
      <c r="F23" s="25">
        <f t="shared" si="2"/>
        <v>288.88388743989952</v>
      </c>
      <c r="G23" s="26">
        <f>'[3]Свод '!$L$25</f>
        <v>253977.78409008918</v>
      </c>
      <c r="H23" s="26">
        <f t="shared" si="3"/>
        <v>21164.815340840763</v>
      </c>
      <c r="I23" s="26">
        <f t="shared" si="4"/>
        <v>13714.800340864815</v>
      </c>
      <c r="J23" s="26">
        <f t="shared" si="5"/>
        <v>8000.3001988378091</v>
      </c>
      <c r="K23" s="26">
        <f t="shared" si="6"/>
        <v>7619.3335227026746</v>
      </c>
      <c r="L23" s="26">
        <f t="shared" si="7"/>
        <v>304477.0334933353</v>
      </c>
      <c r="M23" s="36">
        <f>[2]Лист2!$AC$21</f>
        <v>6628.92</v>
      </c>
      <c r="N23" s="125">
        <v>2501.4</v>
      </c>
      <c r="O23" s="37">
        <f>600+284+276+92</f>
        <v>1252</v>
      </c>
      <c r="P23" s="43">
        <v>100</v>
      </c>
      <c r="Q23" s="43"/>
      <c r="R23" s="44">
        <v>1846</v>
      </c>
      <c r="S23" s="29"/>
      <c r="T23" s="30"/>
      <c r="U23" s="30"/>
      <c r="V23" s="31">
        <f t="shared" si="8"/>
        <v>316805.35349333531</v>
      </c>
      <c r="W23" s="33">
        <f>M23/7</f>
        <v>946.98857142857139</v>
      </c>
      <c r="X23" s="34" t="e">
        <f>#REF!+#REF!+#REF!+#REF!</f>
        <v>#REF!</v>
      </c>
      <c r="Y23" s="32" t="e">
        <f>V23-X23</f>
        <v>#REF!</v>
      </c>
    </row>
    <row r="24" spans="1:25" s="33" customFormat="1" ht="15.75" customHeight="1" x14ac:dyDescent="0.25">
      <c r="A24" s="38">
        <v>17</v>
      </c>
      <c r="B24" s="124" t="s">
        <v>38</v>
      </c>
      <c r="C24" s="25">
        <f>'[1]Свод '!$J$21/1000</f>
        <v>7141.3797636512872</v>
      </c>
      <c r="D24" s="25">
        <f t="shared" si="0"/>
        <v>385.63450723716949</v>
      </c>
      <c r="E24" s="25">
        <f t="shared" si="1"/>
        <v>224.95346255501559</v>
      </c>
      <c r="F24" s="25">
        <f t="shared" si="2"/>
        <v>142.82759527302574</v>
      </c>
      <c r="G24" s="26">
        <f>'[3]Свод '!$L$23</f>
        <v>118848.62883281345</v>
      </c>
      <c r="H24" s="26">
        <f t="shared" si="3"/>
        <v>9904.0524027344545</v>
      </c>
      <c r="I24" s="26">
        <f t="shared" si="4"/>
        <v>6417.8259569719266</v>
      </c>
      <c r="J24" s="26">
        <f t="shared" si="5"/>
        <v>3743.7318082336242</v>
      </c>
      <c r="K24" s="26">
        <f t="shared" si="6"/>
        <v>3565.4588649844036</v>
      </c>
      <c r="L24" s="26">
        <f t="shared" si="7"/>
        <v>142479.69786573786</v>
      </c>
      <c r="M24" s="36">
        <f>[2]Лист2!$AC$22</f>
        <v>6503.12</v>
      </c>
      <c r="N24" s="125">
        <v>1155</v>
      </c>
      <c r="O24" s="37">
        <f>806.4+368</f>
        <v>1174.4000000000001</v>
      </c>
      <c r="P24" s="43">
        <v>100</v>
      </c>
      <c r="Q24" s="43"/>
      <c r="R24" s="28"/>
      <c r="S24" s="29"/>
      <c r="T24" s="30"/>
      <c r="U24" s="30"/>
      <c r="V24" s="31">
        <f t="shared" si="8"/>
        <v>151412.21786573785</v>
      </c>
      <c r="W24" s="33">
        <f>M24/7</f>
        <v>929.01714285714286</v>
      </c>
      <c r="X24" s="34" t="e">
        <f>#REF!+#REF!+#REF!+#REF!</f>
        <v>#REF!</v>
      </c>
      <c r="Y24" s="32" t="e">
        <f>V24-X24</f>
        <v>#REF!</v>
      </c>
    </row>
    <row r="25" spans="1:25" s="33" customFormat="1" ht="15.75" customHeight="1" x14ac:dyDescent="0.25">
      <c r="A25" s="38">
        <v>18</v>
      </c>
      <c r="B25" s="124" t="s">
        <v>39</v>
      </c>
      <c r="C25" s="25">
        <f>'[1]Свод '!$J$22/1000</f>
        <v>6462.7369432606001</v>
      </c>
      <c r="D25" s="25">
        <f t="shared" si="0"/>
        <v>348.98779493607242</v>
      </c>
      <c r="E25" s="25">
        <f t="shared" si="1"/>
        <v>203.57621371270892</v>
      </c>
      <c r="F25" s="25">
        <f t="shared" si="2"/>
        <v>129.254738865212</v>
      </c>
      <c r="G25" s="26">
        <f>'[3]Свод '!$L$24</f>
        <v>124742.53358843364</v>
      </c>
      <c r="H25" s="26">
        <f t="shared" si="3"/>
        <v>10395.21113236947</v>
      </c>
      <c r="I25" s="26">
        <f t="shared" si="4"/>
        <v>6736.0968137754162</v>
      </c>
      <c r="J25" s="26">
        <f t="shared" si="5"/>
        <v>3929.3898080356603</v>
      </c>
      <c r="K25" s="26">
        <f t="shared" si="6"/>
        <v>3742.2760076530089</v>
      </c>
      <c r="L25" s="26">
        <f t="shared" si="7"/>
        <v>149545.5073502672</v>
      </c>
      <c r="M25" s="36">
        <f>[2]Лист2!$AC$23</f>
        <v>2798.9760000000006</v>
      </c>
      <c r="N25" s="125">
        <v>766.6</v>
      </c>
      <c r="O25" s="37">
        <v>184</v>
      </c>
      <c r="P25" s="43">
        <v>100</v>
      </c>
      <c r="Q25" s="43"/>
      <c r="R25" s="28"/>
      <c r="S25" s="29"/>
      <c r="T25" s="30"/>
      <c r="U25" s="30"/>
      <c r="V25" s="31">
        <f t="shared" si="8"/>
        <v>153395.0833502672</v>
      </c>
      <c r="W25" s="33">
        <f>M25/7</f>
        <v>399.85371428571437</v>
      </c>
      <c r="X25" s="34" t="e">
        <f>#REF!+#REF!+#REF!+#REF!</f>
        <v>#REF!</v>
      </c>
      <c r="Y25" s="32" t="e">
        <f>V25-X25</f>
        <v>#REF!</v>
      </c>
    </row>
    <row r="26" spans="1:25" s="33" customFormat="1" ht="15.75" customHeight="1" x14ac:dyDescent="0.25">
      <c r="A26" s="38">
        <v>19</v>
      </c>
      <c r="B26" s="23" t="s">
        <v>40</v>
      </c>
      <c r="C26" s="25">
        <f>'[1]Свод '!$J$24/1000</f>
        <v>9823.1824827918481</v>
      </c>
      <c r="D26" s="25">
        <f t="shared" si="0"/>
        <v>530.45185407075974</v>
      </c>
      <c r="E26" s="25">
        <f t="shared" si="1"/>
        <v>309.43024820794324</v>
      </c>
      <c r="F26" s="25">
        <f t="shared" si="2"/>
        <v>196.46364965583697</v>
      </c>
      <c r="G26" s="26">
        <f>'[3]Свод '!$L$26</f>
        <v>152314.14867448201</v>
      </c>
      <c r="H26" s="26">
        <f t="shared" si="3"/>
        <v>12692.845722873501</v>
      </c>
      <c r="I26" s="26">
        <f t="shared" si="4"/>
        <v>8224.9640284220277</v>
      </c>
      <c r="J26" s="26">
        <f t="shared" si="5"/>
        <v>4797.8956832461836</v>
      </c>
      <c r="K26" s="26">
        <f t="shared" si="6"/>
        <v>4569.4244602344606</v>
      </c>
      <c r="L26" s="26">
        <f t="shared" si="7"/>
        <v>182599.27856925817</v>
      </c>
      <c r="M26" s="36">
        <f>[2]Лист2!$AC$24</f>
        <v>7059.6</v>
      </c>
      <c r="N26" s="125">
        <v>1112</v>
      </c>
      <c r="O26" s="37">
        <f>483+355</f>
        <v>838</v>
      </c>
      <c r="P26" s="43">
        <v>75</v>
      </c>
      <c r="Q26" s="43"/>
      <c r="R26" s="28"/>
      <c r="S26" s="29"/>
      <c r="T26" s="30"/>
      <c r="U26" s="30"/>
      <c r="V26" s="31">
        <f t="shared" si="8"/>
        <v>191683.87856925817</v>
      </c>
      <c r="W26" s="33">
        <f>M26/7</f>
        <v>1008.5142857142857</v>
      </c>
      <c r="X26" s="34" t="e">
        <f>#REF!+#REF!+#REF!+#REF!</f>
        <v>#REF!</v>
      </c>
      <c r="Y26" s="32" t="e">
        <f>V26-X26</f>
        <v>#REF!</v>
      </c>
    </row>
    <row r="27" spans="1:25" s="33" customFormat="1" ht="15.75" customHeight="1" x14ac:dyDescent="0.25">
      <c r="A27" s="38">
        <v>20</v>
      </c>
      <c r="B27" s="124" t="s">
        <v>41</v>
      </c>
      <c r="C27" s="25">
        <f>'[1]Свод '!$J$26/1000</f>
        <v>4381.3013616408089</v>
      </c>
      <c r="D27" s="25">
        <f t="shared" si="0"/>
        <v>236.59027352860369</v>
      </c>
      <c r="E27" s="25">
        <f t="shared" si="1"/>
        <v>138.0109928916855</v>
      </c>
      <c r="F27" s="25">
        <f t="shared" si="2"/>
        <v>87.626027232816185</v>
      </c>
      <c r="G27" s="26">
        <f>'[3]Свод '!$L$46</f>
        <v>80499.569398224194</v>
      </c>
      <c r="H27" s="26">
        <f t="shared" si="3"/>
        <v>6708.2974498520161</v>
      </c>
      <c r="I27" s="26">
        <f t="shared" si="4"/>
        <v>4346.9767475041062</v>
      </c>
      <c r="J27" s="26">
        <f t="shared" si="5"/>
        <v>2535.736436044062</v>
      </c>
      <c r="K27" s="26">
        <f t="shared" si="6"/>
        <v>2414.9870819467255</v>
      </c>
      <c r="L27" s="26">
        <f t="shared" si="7"/>
        <v>96505.567113571102</v>
      </c>
      <c r="M27" s="36">
        <f>[2]Лист2!$AC$25</f>
        <v>3306.32</v>
      </c>
      <c r="N27" s="125">
        <v>1240.5</v>
      </c>
      <c r="O27" s="37">
        <f>360+184</f>
        <v>544</v>
      </c>
      <c r="P27" s="43">
        <v>150</v>
      </c>
      <c r="Q27" s="43"/>
      <c r="R27" s="28"/>
      <c r="S27" s="29"/>
      <c r="T27" s="30"/>
      <c r="U27" s="30"/>
      <c r="V27" s="31">
        <f t="shared" si="8"/>
        <v>101746.38711357111</v>
      </c>
      <c r="W27" s="33">
        <f>M27/7</f>
        <v>472.3314285714286</v>
      </c>
      <c r="X27" s="34" t="e">
        <f>#REF!+#REF!+#REF!+#REF!</f>
        <v>#REF!</v>
      </c>
      <c r="Y27" s="32" t="e">
        <f>V27-X27</f>
        <v>#REF!</v>
      </c>
    </row>
    <row r="28" spans="1:25" s="33" customFormat="1" ht="15.75" customHeight="1" x14ac:dyDescent="0.25">
      <c r="A28" s="38">
        <v>21</v>
      </c>
      <c r="B28" s="124" t="s">
        <v>42</v>
      </c>
      <c r="C28" s="25">
        <f>'[1]Свод '!$J$25/1000</f>
        <v>6848.2695907918487</v>
      </c>
      <c r="D28" s="25">
        <f t="shared" si="0"/>
        <v>369.80655790275978</v>
      </c>
      <c r="E28" s="25">
        <f t="shared" si="1"/>
        <v>215.72049210994325</v>
      </c>
      <c r="F28" s="25">
        <f t="shared" si="2"/>
        <v>136.96539181583697</v>
      </c>
      <c r="G28" s="26">
        <f>'[3]Свод '!$L$27</f>
        <v>127163.28502077296</v>
      </c>
      <c r="H28" s="26">
        <f t="shared" si="3"/>
        <v>10596.940418397748</v>
      </c>
      <c r="I28" s="26">
        <f t="shared" si="4"/>
        <v>6866.8173911217391</v>
      </c>
      <c r="J28" s="26">
        <f t="shared" si="5"/>
        <v>4005.6434781543485</v>
      </c>
      <c r="K28" s="26">
        <f t="shared" si="6"/>
        <v>3814.8985506231888</v>
      </c>
      <c r="L28" s="26">
        <f t="shared" si="7"/>
        <v>152447.58485906999</v>
      </c>
      <c r="M28" s="36">
        <f>[2]Лист2!$AC$26</f>
        <v>3253.04</v>
      </c>
      <c r="N28" s="125">
        <v>599.1</v>
      </c>
      <c r="O28" s="37">
        <f>133+184</f>
        <v>317</v>
      </c>
      <c r="P28" s="43">
        <v>62.5</v>
      </c>
      <c r="Q28" s="43"/>
      <c r="R28" s="28"/>
      <c r="S28" s="29"/>
      <c r="T28" s="30"/>
      <c r="U28" s="30"/>
      <c r="V28" s="31">
        <f t="shared" si="8"/>
        <v>156679.22485907</v>
      </c>
      <c r="W28" s="33">
        <f>M28/7</f>
        <v>464.71999999999997</v>
      </c>
      <c r="X28" s="34" t="e">
        <f>#REF!+#REF!+#REF!+#REF!</f>
        <v>#REF!</v>
      </c>
      <c r="Y28" s="32" t="e">
        <f>V28-X28</f>
        <v>#REF!</v>
      </c>
    </row>
    <row r="29" spans="1:25" s="33" customFormat="1" ht="15.75" customHeight="1" x14ac:dyDescent="0.25">
      <c r="A29" s="22">
        <v>22</v>
      </c>
      <c r="B29" s="23" t="s">
        <v>43</v>
      </c>
      <c r="C29" s="25">
        <f>'[1]Свод '!$J$31/1000</f>
        <v>7591.4033973699752</v>
      </c>
      <c r="D29" s="25">
        <f t="shared" si="0"/>
        <v>409.93578345797863</v>
      </c>
      <c r="E29" s="25">
        <f t="shared" si="1"/>
        <v>239.12920701715424</v>
      </c>
      <c r="F29" s="25">
        <f t="shared" si="2"/>
        <v>151.82806794739952</v>
      </c>
      <c r="G29" s="26">
        <f>'[3]Свод '!$L$31</f>
        <v>135055.53214701277</v>
      </c>
      <c r="H29" s="26">
        <f t="shared" si="3"/>
        <v>11254.62767891773</v>
      </c>
      <c r="I29" s="26">
        <f t="shared" si="4"/>
        <v>7292.9987359386896</v>
      </c>
      <c r="J29" s="26">
        <f t="shared" si="5"/>
        <v>4254.2492626309031</v>
      </c>
      <c r="K29" s="26">
        <f t="shared" si="6"/>
        <v>4051.6659644103829</v>
      </c>
      <c r="L29" s="26">
        <f t="shared" si="7"/>
        <v>161909.07378891046</v>
      </c>
      <c r="M29" s="36">
        <f>[2]Лист2!$AC$27</f>
        <v>4768.8559999999998</v>
      </c>
      <c r="N29" s="125">
        <v>1107.0999999999999</v>
      </c>
      <c r="O29" s="37">
        <f>1680+276</f>
        <v>1956</v>
      </c>
      <c r="P29" s="43">
        <v>125</v>
      </c>
      <c r="Q29" s="43"/>
      <c r="R29" s="45">
        <f>3937*205/1000</f>
        <v>807.08500000000004</v>
      </c>
      <c r="S29" s="29"/>
      <c r="T29" s="30"/>
      <c r="U29" s="30"/>
      <c r="V29" s="31">
        <f>L29+M29+N29+O29+P29+S29+R29+T29+U29+Q29</f>
        <v>170673.11478891046</v>
      </c>
      <c r="W29" s="33">
        <f>M29/7</f>
        <v>681.26514285714279</v>
      </c>
      <c r="X29" s="34" t="e">
        <f>#REF!+#REF!+#REF!+#REF!</f>
        <v>#REF!</v>
      </c>
      <c r="Y29" s="32" t="e">
        <f>V29-X29</f>
        <v>#REF!</v>
      </c>
    </row>
    <row r="30" spans="1:25" s="33" customFormat="1" ht="15.75" customHeight="1" x14ac:dyDescent="0.25">
      <c r="A30" s="35">
        <v>23</v>
      </c>
      <c r="B30" s="124" t="s">
        <v>44</v>
      </c>
      <c r="C30" s="25">
        <f>'[1]Свод '!$J$27/1000</f>
        <v>8205.6325673637239</v>
      </c>
      <c r="D30" s="25">
        <f t="shared" si="0"/>
        <v>443.10415863764104</v>
      </c>
      <c r="E30" s="25">
        <f t="shared" si="1"/>
        <v>258.47742587195734</v>
      </c>
      <c r="F30" s="25">
        <f t="shared" si="2"/>
        <v>164.11265134727449</v>
      </c>
      <c r="G30" s="26">
        <f>'[3]Свод '!$L$28</f>
        <v>132488.85231043518</v>
      </c>
      <c r="H30" s="26">
        <f t="shared" si="3"/>
        <v>11040.737692536264</v>
      </c>
      <c r="I30" s="26">
        <f t="shared" si="4"/>
        <v>7154.3980247634991</v>
      </c>
      <c r="J30" s="26">
        <f t="shared" si="5"/>
        <v>4173.3988477787088</v>
      </c>
      <c r="K30" s="26">
        <f t="shared" si="6"/>
        <v>3974.6655693130551</v>
      </c>
      <c r="L30" s="26">
        <f t="shared" si="7"/>
        <v>158832.0524448267</v>
      </c>
      <c r="M30" s="36">
        <f>[2]Лист2!$AC$28</f>
        <v>5524.2479999999996</v>
      </c>
      <c r="N30" s="125">
        <v>718.8</v>
      </c>
      <c r="O30" s="37">
        <f>600+276</f>
        <v>876</v>
      </c>
      <c r="P30" s="43">
        <v>62.5</v>
      </c>
      <c r="Q30" s="43"/>
      <c r="R30" s="28"/>
      <c r="S30" s="29"/>
      <c r="T30" s="30"/>
      <c r="U30" s="30"/>
      <c r="V30" s="31">
        <f t="shared" si="8"/>
        <v>166013.60044482668</v>
      </c>
      <c r="W30" s="33">
        <f>M30/7</f>
        <v>789.17828571428561</v>
      </c>
      <c r="X30" s="34" t="e">
        <f>#REF!+#REF!+#REF!+#REF!</f>
        <v>#REF!</v>
      </c>
      <c r="Y30" s="32" t="e">
        <f>V30-X30</f>
        <v>#REF!</v>
      </c>
    </row>
    <row r="31" spans="1:25" s="33" customFormat="1" ht="15.75" customHeight="1" x14ac:dyDescent="0.25">
      <c r="A31" s="38">
        <v>24</v>
      </c>
      <c r="B31" s="23" t="s">
        <v>45</v>
      </c>
      <c r="C31" s="25">
        <f>'[1]Свод '!$J$28/1000</f>
        <v>9770.7607949533067</v>
      </c>
      <c r="D31" s="25">
        <f t="shared" si="0"/>
        <v>527.62108292747848</v>
      </c>
      <c r="E31" s="25">
        <f t="shared" si="1"/>
        <v>307.77896504102915</v>
      </c>
      <c r="F31" s="25">
        <f t="shared" si="2"/>
        <v>195.41521589906614</v>
      </c>
      <c r="G31" s="26">
        <f>'[3]Свод '!$L$29</f>
        <v>193173.47330067257</v>
      </c>
      <c r="H31" s="26">
        <f t="shared" si="3"/>
        <v>16097.789441722714</v>
      </c>
      <c r="I31" s="26">
        <f t="shared" si="4"/>
        <v>10431.367558236319</v>
      </c>
      <c r="J31" s="26">
        <f t="shared" si="5"/>
        <v>6084.9644089711874</v>
      </c>
      <c r="K31" s="26">
        <f t="shared" si="6"/>
        <v>5795.2041990201769</v>
      </c>
      <c r="L31" s="26">
        <f t="shared" si="7"/>
        <v>231582.79890862296</v>
      </c>
      <c r="M31" s="36">
        <f>[2]Лист2!$AC$29</f>
        <v>2644.4639999999999</v>
      </c>
      <c r="N31" s="125">
        <v>1376.6</v>
      </c>
      <c r="O31" s="37">
        <f>1120.2+276</f>
        <v>1396.2</v>
      </c>
      <c r="P31" s="43">
        <v>62.5</v>
      </c>
      <c r="Q31" s="43"/>
      <c r="R31" s="28"/>
      <c r="S31" s="29"/>
      <c r="T31" s="30"/>
      <c r="U31" s="30"/>
      <c r="V31" s="31">
        <f t="shared" si="8"/>
        <v>237062.56290862299</v>
      </c>
      <c r="W31" s="33">
        <f>M31/7</f>
        <v>377.78057142857142</v>
      </c>
      <c r="X31" s="34" t="e">
        <f>#REF!+#REF!+#REF!+#REF!</f>
        <v>#REF!</v>
      </c>
      <c r="Y31" s="32" t="e">
        <f>V31-X31</f>
        <v>#REF!</v>
      </c>
    </row>
    <row r="32" spans="1:25" s="33" customFormat="1" ht="15.75" customHeight="1" x14ac:dyDescent="0.25">
      <c r="A32" s="38">
        <v>25</v>
      </c>
      <c r="B32" s="124" t="s">
        <v>46</v>
      </c>
      <c r="C32" s="25">
        <f>'[1]Свод '!$J$32/1000</f>
        <v>6678.4900416564324</v>
      </c>
      <c r="D32" s="25">
        <f t="shared" si="0"/>
        <v>360.63846224944734</v>
      </c>
      <c r="E32" s="25">
        <f t="shared" si="1"/>
        <v>210.37243631217763</v>
      </c>
      <c r="F32" s="25">
        <f t="shared" si="2"/>
        <v>133.56980083312865</v>
      </c>
      <c r="G32" s="26">
        <f>'[3]Свод '!$L$32</f>
        <v>131189.41425001613</v>
      </c>
      <c r="H32" s="26">
        <f t="shared" si="3"/>
        <v>10932.451187501343</v>
      </c>
      <c r="I32" s="26">
        <f t="shared" si="4"/>
        <v>7084.2283695008709</v>
      </c>
      <c r="J32" s="26">
        <f t="shared" si="5"/>
        <v>4132.4665488755081</v>
      </c>
      <c r="K32" s="26">
        <f t="shared" si="6"/>
        <v>3935.6824275004838</v>
      </c>
      <c r="L32" s="26">
        <f t="shared" si="7"/>
        <v>157274.24278339432</v>
      </c>
      <c r="M32" s="36">
        <f>[2]Лист2!$AC$30</f>
        <v>9072.4</v>
      </c>
      <c r="N32" s="125">
        <v>1231</v>
      </c>
      <c r="O32" s="37">
        <f>840+276</f>
        <v>1116</v>
      </c>
      <c r="P32" s="43">
        <v>62.5</v>
      </c>
      <c r="Q32" s="43"/>
      <c r="R32" s="28"/>
      <c r="S32" s="29"/>
      <c r="T32" s="30"/>
      <c r="U32" s="30"/>
      <c r="V32" s="31">
        <f>L32+M32+N32+O32+P32+S32+R32+T32+U32+Q32</f>
        <v>168756.14278339432</v>
      </c>
      <c r="W32" s="33">
        <f>M32/7</f>
        <v>1296.0571428571427</v>
      </c>
      <c r="X32" s="34" t="e">
        <f>#REF!+#REF!+#REF!+#REF!</f>
        <v>#REF!</v>
      </c>
      <c r="Y32" s="32" t="e">
        <f>V32-X32</f>
        <v>#REF!</v>
      </c>
    </row>
    <row r="33" spans="1:25" s="33" customFormat="1" ht="15.75" customHeight="1" x14ac:dyDescent="0.25">
      <c r="A33" s="38">
        <v>26</v>
      </c>
      <c r="B33" s="23" t="s">
        <v>47</v>
      </c>
      <c r="C33" s="25">
        <f>'[1]Свод '!$J$29/1000</f>
        <v>10489.088921817891</v>
      </c>
      <c r="D33" s="25">
        <f t="shared" si="0"/>
        <v>566.41080177816605</v>
      </c>
      <c r="E33" s="25">
        <f t="shared" si="1"/>
        <v>330.40630103726357</v>
      </c>
      <c r="F33" s="25">
        <f t="shared" si="2"/>
        <v>209.78177843635783</v>
      </c>
      <c r="G33" s="26">
        <f>'[3]Свод '!$L$30</f>
        <v>176236.6402010181</v>
      </c>
      <c r="H33" s="26">
        <f t="shared" si="3"/>
        <v>14686.386683418175</v>
      </c>
      <c r="I33" s="26">
        <f t="shared" si="4"/>
        <v>9516.7785708549782</v>
      </c>
      <c r="J33" s="26">
        <f t="shared" si="5"/>
        <v>5551.4541663320715</v>
      </c>
      <c r="K33" s="26">
        <f t="shared" si="6"/>
        <v>5287.0992060305425</v>
      </c>
      <c r="L33" s="26">
        <f t="shared" si="7"/>
        <v>211278.35882765389</v>
      </c>
      <c r="M33" s="36">
        <f>[2]Лист2!$AC$31</f>
        <v>3895.36</v>
      </c>
      <c r="N33" s="125">
        <v>1912.2</v>
      </c>
      <c r="O33" s="37">
        <f>1283.4+276</f>
        <v>1559.4</v>
      </c>
      <c r="P33" s="43">
        <v>100</v>
      </c>
      <c r="Q33" s="43">
        <v>145</v>
      </c>
      <c r="R33" s="28">
        <f>1712*205/1000</f>
        <v>350.96</v>
      </c>
      <c r="S33" s="29"/>
      <c r="T33" s="30"/>
      <c r="U33" s="30"/>
      <c r="V33" s="31">
        <f>L33+M33+N33+O33+P33+S33+R33+T33+U33+Q33</f>
        <v>219241.27882765388</v>
      </c>
      <c r="W33" s="33">
        <f>M33/7</f>
        <v>556.48</v>
      </c>
      <c r="X33" s="34" t="e">
        <f>#REF!+#REF!+#REF!+#REF!</f>
        <v>#REF!</v>
      </c>
      <c r="Y33" s="32" t="e">
        <f>V33-X33</f>
        <v>#REF!</v>
      </c>
    </row>
    <row r="34" spans="1:25" s="33" customFormat="1" ht="23.25" customHeight="1" x14ac:dyDescent="0.25">
      <c r="A34" s="38">
        <v>27</v>
      </c>
      <c r="B34" s="23" t="s">
        <v>48</v>
      </c>
      <c r="C34" s="25">
        <f>'[1]Свод '!$J$30/1000</f>
        <v>6201.4422744585163</v>
      </c>
      <c r="D34" s="25">
        <f t="shared" si="0"/>
        <v>334.87788282075991</v>
      </c>
      <c r="E34" s="25">
        <f t="shared" si="1"/>
        <v>195.34543164544328</v>
      </c>
      <c r="F34" s="25">
        <f t="shared" si="2"/>
        <v>124.02884548917032</v>
      </c>
      <c r="G34" s="26">
        <f>'[3]Свод '!$L$45</f>
        <v>75470.620771863512</v>
      </c>
      <c r="H34" s="26">
        <f t="shared" si="3"/>
        <v>6289.2183976552924</v>
      </c>
      <c r="I34" s="26">
        <f t="shared" si="4"/>
        <v>4075.4135216806299</v>
      </c>
      <c r="J34" s="26">
        <f t="shared" si="5"/>
        <v>2377.3245543137009</v>
      </c>
      <c r="K34" s="26">
        <f t="shared" si="6"/>
        <v>2264.1186231559054</v>
      </c>
      <c r="L34" s="26">
        <f t="shared" si="7"/>
        <v>90476.695868669049</v>
      </c>
      <c r="M34" s="36">
        <f>[2]Лист2!$AC$32</f>
        <v>10253.44</v>
      </c>
      <c r="N34" s="125">
        <v>1101</v>
      </c>
      <c r="O34" s="37">
        <v>276</v>
      </c>
      <c r="P34" s="43">
        <v>150</v>
      </c>
      <c r="Q34" s="43"/>
      <c r="R34" s="28"/>
      <c r="S34" s="29"/>
      <c r="T34" s="30"/>
      <c r="U34" s="30"/>
      <c r="V34" s="31">
        <f>L34+M34+N34+O34+P34+S34+R34+T34+U34+Q34</f>
        <v>102257.13586866905</v>
      </c>
      <c r="W34" s="33">
        <f>M34/7</f>
        <v>1464.777142857143</v>
      </c>
      <c r="X34" s="34" t="e">
        <f>#REF!+#REF!+#REF!+#REF!</f>
        <v>#REF!</v>
      </c>
      <c r="Y34" s="32" t="e">
        <f>V34-X34</f>
        <v>#REF!</v>
      </c>
    </row>
    <row r="35" spans="1:25" s="33" customFormat="1" ht="15.75" customHeight="1" x14ac:dyDescent="0.25">
      <c r="A35" s="38">
        <v>28</v>
      </c>
      <c r="B35" s="23" t="s">
        <v>49</v>
      </c>
      <c r="C35" s="25">
        <v>16253</v>
      </c>
      <c r="D35" s="25">
        <f t="shared" si="0"/>
        <v>877.66200000000003</v>
      </c>
      <c r="E35" s="25">
        <f t="shared" si="1"/>
        <v>511.9695000000001</v>
      </c>
      <c r="F35" s="25">
        <f t="shared" si="2"/>
        <v>325.06</v>
      </c>
      <c r="G35" s="26">
        <f>'[3]Свод '!$L$33</f>
        <v>283571.46077354398</v>
      </c>
      <c r="H35" s="26">
        <f t="shared" si="3"/>
        <v>23630.955064461999</v>
      </c>
      <c r="I35" s="26">
        <f t="shared" si="4"/>
        <v>15312.858881771373</v>
      </c>
      <c r="J35" s="26">
        <f t="shared" si="5"/>
        <v>8932.501014366635</v>
      </c>
      <c r="K35" s="26">
        <f t="shared" si="6"/>
        <v>8507.1438232063192</v>
      </c>
      <c r="L35" s="26">
        <f t="shared" si="7"/>
        <v>339954.91955735028</v>
      </c>
      <c r="M35" s="36">
        <f>[2]Лист2!$AC$33</f>
        <v>7772.96</v>
      </c>
      <c r="N35" s="126">
        <v>2409.9</v>
      </c>
      <c r="O35" s="37">
        <v>948</v>
      </c>
      <c r="P35" s="27">
        <v>187.5</v>
      </c>
      <c r="Q35" s="27">
        <v>189</v>
      </c>
      <c r="R35" s="28"/>
      <c r="S35" s="29"/>
      <c r="T35" s="30"/>
      <c r="U35" s="30"/>
      <c r="V35" s="31">
        <f t="shared" si="8"/>
        <v>351462.27955735032</v>
      </c>
      <c r="W35" s="33">
        <f>M35/7</f>
        <v>1110.4228571428571</v>
      </c>
      <c r="X35" s="34" t="e">
        <f>#REF!+#REF!+#REF!+#REF!</f>
        <v>#REF!</v>
      </c>
      <c r="Y35" s="32" t="e">
        <f>V35-X35</f>
        <v>#REF!</v>
      </c>
    </row>
    <row r="36" spans="1:25" s="33" customFormat="1" ht="15.75" customHeight="1" x14ac:dyDescent="0.25">
      <c r="A36" s="22">
        <v>29</v>
      </c>
      <c r="B36" s="23" t="s">
        <v>50</v>
      </c>
      <c r="C36" s="25">
        <f>'[1]Свод '!$J$34/1000</f>
        <v>6468.2395284918512</v>
      </c>
      <c r="D36" s="25">
        <f t="shared" si="0"/>
        <v>349.28493453855998</v>
      </c>
      <c r="E36" s="25">
        <f t="shared" si="1"/>
        <v>203.74954514749334</v>
      </c>
      <c r="F36" s="25">
        <f t="shared" si="2"/>
        <v>129.36479056983703</v>
      </c>
      <c r="G36" s="26">
        <f>'[3]Свод '!$L$34</f>
        <v>105859.8223356219</v>
      </c>
      <c r="H36" s="26">
        <f t="shared" si="3"/>
        <v>8821.6518613018252</v>
      </c>
      <c r="I36" s="26">
        <f t="shared" si="4"/>
        <v>5716.4304061235825</v>
      </c>
      <c r="J36" s="26">
        <f t="shared" si="5"/>
        <v>3334.5844035720902</v>
      </c>
      <c r="K36" s="26">
        <f t="shared" si="6"/>
        <v>3175.7946700686566</v>
      </c>
      <c r="L36" s="26">
        <f t="shared" si="7"/>
        <v>126908.28367668806</v>
      </c>
      <c r="M36" s="36">
        <f>[2]Лист2!$AC$34</f>
        <v>2617.232</v>
      </c>
      <c r="N36" s="125">
        <v>2633.5</v>
      </c>
      <c r="O36" s="37">
        <f>493+92+92</f>
        <v>677</v>
      </c>
      <c r="P36" s="27">
        <v>62.5</v>
      </c>
      <c r="Q36" s="27"/>
      <c r="R36" s="28"/>
      <c r="S36" s="29"/>
      <c r="T36" s="30"/>
      <c r="U36" s="30"/>
      <c r="V36" s="31">
        <f>L36+M36+N36+O36+P36+S36+R36+T36+U36+Q36</f>
        <v>132898.51567668805</v>
      </c>
      <c r="W36" s="33">
        <f>M36/7</f>
        <v>373.89028571428571</v>
      </c>
      <c r="X36" s="34" t="e">
        <f>#REF!+#REF!+#REF!+#REF!</f>
        <v>#REF!</v>
      </c>
      <c r="Y36" s="32" t="e">
        <f>V36-X36</f>
        <v>#REF!</v>
      </c>
    </row>
    <row r="37" spans="1:25" s="33" customFormat="1" ht="15.75" customHeight="1" x14ac:dyDescent="0.25">
      <c r="A37" s="35">
        <v>30</v>
      </c>
      <c r="B37" s="124" t="s">
        <v>51</v>
      </c>
      <c r="C37" s="25">
        <f>'[1]Свод '!$J$36/1000</f>
        <v>4405.815049957946</v>
      </c>
      <c r="D37" s="25">
        <f t="shared" si="0"/>
        <v>237.91401269772908</v>
      </c>
      <c r="E37" s="25">
        <f t="shared" si="1"/>
        <v>138.78317407367533</v>
      </c>
      <c r="F37" s="25">
        <f t="shared" si="2"/>
        <v>88.116300999158923</v>
      </c>
      <c r="G37" s="26">
        <f>'[3]Свод '!$L$36</f>
        <v>70924.917022070498</v>
      </c>
      <c r="H37" s="26">
        <f t="shared" si="3"/>
        <v>5910.4097518392082</v>
      </c>
      <c r="I37" s="26">
        <f t="shared" si="4"/>
        <v>3829.9455191918069</v>
      </c>
      <c r="J37" s="26">
        <f t="shared" si="5"/>
        <v>2234.134886195221</v>
      </c>
      <c r="K37" s="26">
        <f t="shared" si="6"/>
        <v>2127.747510662115</v>
      </c>
      <c r="L37" s="26">
        <f t="shared" si="7"/>
        <v>85027.154689958857</v>
      </c>
      <c r="M37" s="36">
        <f>[2]Лист2!$AC$35</f>
        <v>5905.2</v>
      </c>
      <c r="N37" s="125">
        <v>1491</v>
      </c>
      <c r="O37" s="37">
        <v>276</v>
      </c>
      <c r="P37" s="27">
        <v>150</v>
      </c>
      <c r="Q37" s="27">
        <v>145</v>
      </c>
      <c r="R37" s="28"/>
      <c r="S37" s="29"/>
      <c r="T37" s="30"/>
      <c r="U37" s="30"/>
      <c r="V37" s="31">
        <f t="shared" ref="V37:V63" si="9">L37+M37+N37+O37+P37+S37+R37+T37+U37+Q37</f>
        <v>92994.354689958855</v>
      </c>
      <c r="W37" s="33">
        <f>M37/7</f>
        <v>843.6</v>
      </c>
      <c r="X37" s="34" t="e">
        <f>#REF!+#REF!+#REF!+#REF!</f>
        <v>#REF!</v>
      </c>
      <c r="Y37" s="32" t="e">
        <f>V37-X37</f>
        <v>#REF!</v>
      </c>
    </row>
    <row r="38" spans="1:25" s="33" customFormat="1" ht="15.75" customHeight="1" x14ac:dyDescent="0.25">
      <c r="A38" s="38">
        <v>31</v>
      </c>
      <c r="B38" s="124" t="s">
        <v>52</v>
      </c>
      <c r="C38" s="25">
        <f>'[1]Свод '!$J$35/1000</f>
        <v>3807.9689260522664</v>
      </c>
      <c r="D38" s="25">
        <f t="shared" si="0"/>
        <v>205.63032200682238</v>
      </c>
      <c r="E38" s="25">
        <f t="shared" si="1"/>
        <v>119.9510211706464</v>
      </c>
      <c r="F38" s="25">
        <f t="shared" si="2"/>
        <v>76.159378521045326</v>
      </c>
      <c r="G38" s="26">
        <f>'[3]Свод '!$L$35</f>
        <v>82617.31972224114</v>
      </c>
      <c r="H38" s="26">
        <f t="shared" si="3"/>
        <v>6884.7766435200947</v>
      </c>
      <c r="I38" s="26">
        <f t="shared" si="4"/>
        <v>4461.335265001022</v>
      </c>
      <c r="J38" s="26">
        <f>(G38-G38*10%)*3.5%</f>
        <v>2602.4455712505965</v>
      </c>
      <c r="K38" s="26">
        <f t="shared" si="6"/>
        <v>2478.5195916672342</v>
      </c>
      <c r="L38" s="26">
        <f t="shared" si="7"/>
        <v>99044.396793680091</v>
      </c>
      <c r="M38" s="36">
        <f>[2]Лист2!$AC$36</f>
        <v>5082.3200000000006</v>
      </c>
      <c r="N38" s="125">
        <v>291</v>
      </c>
      <c r="O38" s="37">
        <v>184</v>
      </c>
      <c r="P38" s="27">
        <v>62.5</v>
      </c>
      <c r="Q38" s="27"/>
      <c r="R38" s="28"/>
      <c r="S38" s="29"/>
      <c r="T38" s="30"/>
      <c r="U38" s="30"/>
      <c r="V38" s="31">
        <f t="shared" si="9"/>
        <v>104664.2167936801</v>
      </c>
      <c r="W38" s="33">
        <f>M38/7</f>
        <v>726.04571428571433</v>
      </c>
      <c r="X38" s="34" t="e">
        <f>#REF!+#REF!+#REF!+#REF!</f>
        <v>#REF!</v>
      </c>
      <c r="Y38" s="32" t="e">
        <f>V38-X38</f>
        <v>#REF!</v>
      </c>
    </row>
    <row r="39" spans="1:25" s="33" customFormat="1" ht="15.75" customHeight="1" x14ac:dyDescent="0.25">
      <c r="A39" s="38">
        <v>32</v>
      </c>
      <c r="B39" s="23" t="s">
        <v>53</v>
      </c>
      <c r="C39" s="25">
        <f>'[1]Свод '!$J$39/1000</f>
        <v>7587.0912818296629</v>
      </c>
      <c r="D39" s="25">
        <f t="shared" si="0"/>
        <v>409.70292921880178</v>
      </c>
      <c r="E39" s="25">
        <f t="shared" si="1"/>
        <v>238.99337537763441</v>
      </c>
      <c r="F39" s="25">
        <f t="shared" si="2"/>
        <v>151.74182563659326</v>
      </c>
      <c r="G39" s="26">
        <f>'[3]Свод '!$L$14</f>
        <v>121145.32679412563</v>
      </c>
      <c r="H39" s="26">
        <f t="shared" si="3"/>
        <v>10095.44389951047</v>
      </c>
      <c r="I39" s="26">
        <f t="shared" si="4"/>
        <v>6541.8476468827839</v>
      </c>
      <c r="J39" s="26">
        <f t="shared" si="5"/>
        <v>3816.0777940149574</v>
      </c>
      <c r="K39" s="26">
        <f t="shared" si="6"/>
        <v>3634.3598038237687</v>
      </c>
      <c r="L39" s="26">
        <f t="shared" si="7"/>
        <v>145233.05593835763</v>
      </c>
      <c r="M39" s="36">
        <f>[2]Лист2!$AC$37</f>
        <v>6914.56</v>
      </c>
      <c r="N39" s="125">
        <v>669.6</v>
      </c>
      <c r="O39" s="37">
        <f>208.2+276</f>
        <v>484.2</v>
      </c>
      <c r="P39" s="27"/>
      <c r="Q39" s="27">
        <v>145</v>
      </c>
      <c r="R39" s="28"/>
      <c r="S39" s="29"/>
      <c r="T39" s="30"/>
      <c r="U39" s="30"/>
      <c r="V39" s="31">
        <f t="shared" si="9"/>
        <v>153446.41593835765</v>
      </c>
      <c r="W39" s="33">
        <f>M39/7</f>
        <v>987.79428571428582</v>
      </c>
      <c r="X39" s="34" t="e">
        <f>#REF!+#REF!+#REF!+#REF!</f>
        <v>#REF!</v>
      </c>
      <c r="Y39" s="32" t="e">
        <f>V39-X39</f>
        <v>#REF!</v>
      </c>
    </row>
    <row r="40" spans="1:25" s="150" customFormat="1" ht="24.75" customHeight="1" x14ac:dyDescent="0.25">
      <c r="A40" s="38">
        <v>33</v>
      </c>
      <c r="B40" s="124" t="s">
        <v>54</v>
      </c>
      <c r="C40" s="140">
        <f>'[1]Свод '!$J$38/1000</f>
        <v>4116.4666800585164</v>
      </c>
      <c r="D40" s="140">
        <f t="shared" si="0"/>
        <v>222.28920072315989</v>
      </c>
      <c r="E40" s="140">
        <f t="shared" si="1"/>
        <v>129.66870042184328</v>
      </c>
      <c r="F40" s="140">
        <f t="shared" si="2"/>
        <v>82.329333601170333</v>
      </c>
      <c r="G40" s="141">
        <f>'[3]Свод '!$L$37</f>
        <v>59440.391501485123</v>
      </c>
      <c r="H40" s="26">
        <f t="shared" si="3"/>
        <v>4953.3659584570933</v>
      </c>
      <c r="I40" s="26">
        <f t="shared" si="4"/>
        <v>3209.7811410801964</v>
      </c>
      <c r="J40" s="141">
        <f t="shared" si="5"/>
        <v>1872.3723322967815</v>
      </c>
      <c r="K40" s="26">
        <f t="shared" si="6"/>
        <v>1783.2117450445537</v>
      </c>
      <c r="L40" s="26">
        <f t="shared" si="7"/>
        <v>71259.122678363754</v>
      </c>
      <c r="M40" s="142">
        <f>[2]Лист2!$AC$38</f>
        <v>7624.96</v>
      </c>
      <c r="N40" s="143">
        <v>641.29999999999995</v>
      </c>
      <c r="O40" s="143">
        <f>131+184</f>
        <v>315</v>
      </c>
      <c r="P40" s="144">
        <v>62.5</v>
      </c>
      <c r="Q40" s="144"/>
      <c r="R40" s="145"/>
      <c r="S40" s="146"/>
      <c r="T40" s="147"/>
      <c r="U40" s="147"/>
      <c r="V40" s="148">
        <f t="shared" si="9"/>
        <v>79902.882678363763</v>
      </c>
      <c r="W40" s="150">
        <f>M40/7</f>
        <v>1089.28</v>
      </c>
      <c r="X40" s="151" t="e">
        <f>#REF!+#REF!+#REF!+#REF!</f>
        <v>#REF!</v>
      </c>
      <c r="Y40" s="149" t="e">
        <f>V40-X40</f>
        <v>#REF!</v>
      </c>
    </row>
    <row r="41" spans="1:25" s="33" customFormat="1" ht="15.75" customHeight="1" x14ac:dyDescent="0.25">
      <c r="A41" s="38">
        <v>34</v>
      </c>
      <c r="B41" s="23" t="s">
        <v>55</v>
      </c>
      <c r="C41" s="25">
        <f>'[1]Свод '!$J$41/1000</f>
        <v>8241.4683737085161</v>
      </c>
      <c r="D41" s="25">
        <f t="shared" si="0"/>
        <v>445.03929218025979</v>
      </c>
      <c r="E41" s="25">
        <f t="shared" si="1"/>
        <v>259.60625377181827</v>
      </c>
      <c r="F41" s="25">
        <f t="shared" si="2"/>
        <v>164.82936747417031</v>
      </c>
      <c r="G41" s="26">
        <f>'[3]Свод '!$L$39</f>
        <v>152751.07102302203</v>
      </c>
      <c r="H41" s="26">
        <f t="shared" si="3"/>
        <v>12729.25591858517</v>
      </c>
      <c r="I41" s="26">
        <f t="shared" si="4"/>
        <v>8248.5578352431894</v>
      </c>
      <c r="J41" s="26">
        <f t="shared" si="5"/>
        <v>4811.6587372251943</v>
      </c>
      <c r="K41" s="26">
        <f t="shared" si="6"/>
        <v>4582.5321306906608</v>
      </c>
      <c r="L41" s="26">
        <f t="shared" si="7"/>
        <v>183123.07564476624</v>
      </c>
      <c r="M41" s="36">
        <f>[2]Лист2!$AC$40</f>
        <v>3492.8</v>
      </c>
      <c r="N41" s="125">
        <v>855.6</v>
      </c>
      <c r="O41" s="37">
        <v>428</v>
      </c>
      <c r="P41" s="27">
        <v>400</v>
      </c>
      <c r="Q41" s="27"/>
      <c r="R41" s="28"/>
      <c r="S41" s="29"/>
      <c r="T41" s="30"/>
      <c r="U41" s="30"/>
      <c r="V41" s="31">
        <f t="shared" si="9"/>
        <v>188299.47564476624</v>
      </c>
      <c r="W41" s="33">
        <f>M41/7</f>
        <v>498.97142857142859</v>
      </c>
      <c r="X41" s="34" t="e">
        <f>#REF!+#REF!+#REF!+#REF!</f>
        <v>#REF!</v>
      </c>
      <c r="Y41" s="32" t="e">
        <f>V41-X41</f>
        <v>#REF!</v>
      </c>
    </row>
    <row r="42" spans="1:25" s="33" customFormat="1" ht="15.75" customHeight="1" x14ac:dyDescent="0.25">
      <c r="A42" s="38">
        <v>35</v>
      </c>
      <c r="B42" s="23" t="s">
        <v>56</v>
      </c>
      <c r="C42" s="25">
        <f>'[1]Свод '!$J$42/1000</f>
        <v>6425.0795290933629</v>
      </c>
      <c r="D42" s="25">
        <f t="shared" si="0"/>
        <v>346.9542945710416</v>
      </c>
      <c r="E42" s="25">
        <f t="shared" si="1"/>
        <v>202.39000516644094</v>
      </c>
      <c r="F42" s="25">
        <f t="shared" si="2"/>
        <v>128.50159058186725</v>
      </c>
      <c r="G42" s="26">
        <f>'[3]Свод '!$L$40</f>
        <v>118377.90661129318</v>
      </c>
      <c r="H42" s="26">
        <f t="shared" si="3"/>
        <v>9864.8255509410974</v>
      </c>
      <c r="I42" s="26">
        <f t="shared" si="4"/>
        <v>6392.4069570098318</v>
      </c>
      <c r="J42" s="26">
        <f t="shared" si="5"/>
        <v>3728.9040582557354</v>
      </c>
      <c r="K42" s="26">
        <f t="shared" si="6"/>
        <v>3551.3371983387951</v>
      </c>
      <c r="L42" s="26">
        <f t="shared" si="7"/>
        <v>141915.38037583866</v>
      </c>
      <c r="M42" s="36">
        <v>5474</v>
      </c>
      <c r="N42" s="125">
        <v>555</v>
      </c>
      <c r="O42" s="37">
        <v>276</v>
      </c>
      <c r="P42" s="27">
        <v>112.5</v>
      </c>
      <c r="Q42" s="27"/>
      <c r="R42" s="28"/>
      <c r="S42" s="29"/>
      <c r="T42" s="30"/>
      <c r="U42" s="30"/>
      <c r="V42" s="31">
        <f t="shared" si="9"/>
        <v>148332.88037583866</v>
      </c>
      <c r="W42" s="33">
        <f>M42/7</f>
        <v>782</v>
      </c>
      <c r="X42" s="34" t="e">
        <f>#REF!+#REF!+#REF!+#REF!</f>
        <v>#REF!</v>
      </c>
      <c r="Y42" s="32" t="e">
        <f>V42-X42</f>
        <v>#REF!</v>
      </c>
    </row>
    <row r="43" spans="1:25" s="50" customFormat="1" ht="15.75" customHeight="1" x14ac:dyDescent="0.25">
      <c r="A43" s="22">
        <v>36</v>
      </c>
      <c r="B43" s="124" t="s">
        <v>57</v>
      </c>
      <c r="C43" s="46">
        <f>'[1]Свод '!$J$43/1000</f>
        <v>3725.8337278121139</v>
      </c>
      <c r="D43" s="46">
        <f t="shared" si="0"/>
        <v>201.19502130185415</v>
      </c>
      <c r="E43" s="46">
        <f t="shared" si="1"/>
        <v>117.36376242608159</v>
      </c>
      <c r="F43" s="46">
        <f t="shared" si="2"/>
        <v>74.516674556242279</v>
      </c>
      <c r="G43" s="26">
        <f>'[3]Свод '!$L$41</f>
        <v>83360.682867275726</v>
      </c>
      <c r="H43" s="26">
        <f t="shared" si="3"/>
        <v>6946.7235722729774</v>
      </c>
      <c r="I43" s="26">
        <f t="shared" si="4"/>
        <v>4501.4768748328888</v>
      </c>
      <c r="J43" s="47">
        <f t="shared" si="5"/>
        <v>2625.8615103191855</v>
      </c>
      <c r="K43" s="26">
        <f t="shared" si="6"/>
        <v>2500.8204860182718</v>
      </c>
      <c r="L43" s="26">
        <f t="shared" si="7"/>
        <v>99935.565310719059</v>
      </c>
      <c r="M43" s="48">
        <f>[2]Лист2!$AC$41</f>
        <v>1231.3599999999999</v>
      </c>
      <c r="N43" s="133">
        <v>367.9</v>
      </c>
      <c r="O43" s="49">
        <v>184</v>
      </c>
      <c r="P43" s="27">
        <v>62.5</v>
      </c>
      <c r="Q43" s="27"/>
      <c r="R43" s="28"/>
      <c r="S43" s="29"/>
      <c r="T43" s="30"/>
      <c r="U43" s="30"/>
      <c r="V43" s="31">
        <f t="shared" si="9"/>
        <v>101781.32531071905</v>
      </c>
      <c r="W43" s="33">
        <f>M43/7</f>
        <v>175.90857142857141</v>
      </c>
      <c r="X43" s="34" t="e">
        <f>#REF!+#REF!+#REF!+#REF!</f>
        <v>#REF!</v>
      </c>
      <c r="Y43" s="32" t="e">
        <f>V43-X43</f>
        <v>#REF!</v>
      </c>
    </row>
    <row r="44" spans="1:25" s="33" customFormat="1" ht="15.75" customHeight="1" x14ac:dyDescent="0.25">
      <c r="A44" s="35">
        <v>37</v>
      </c>
      <c r="B44" s="124" t="s">
        <v>58</v>
      </c>
      <c r="C44" s="25">
        <f>'[1]Свод '!$J$45/1000</f>
        <v>3701.8287106355992</v>
      </c>
      <c r="D44" s="25">
        <f t="shared" si="0"/>
        <v>199.89875037432233</v>
      </c>
      <c r="E44" s="25">
        <f t="shared" si="1"/>
        <v>116.60760438502139</v>
      </c>
      <c r="F44" s="25">
        <f t="shared" si="2"/>
        <v>74.036574212711983</v>
      </c>
      <c r="G44" s="26">
        <f>'[3]Свод '!$L$43</f>
        <v>65275.457076596329</v>
      </c>
      <c r="H44" s="26">
        <f t="shared" si="3"/>
        <v>5439.6214230496944</v>
      </c>
      <c r="I44" s="26">
        <f t="shared" si="4"/>
        <v>3524.8746821362015</v>
      </c>
      <c r="J44" s="26">
        <f t="shared" si="5"/>
        <v>2056.1768979127846</v>
      </c>
      <c r="K44" s="26">
        <f t="shared" si="6"/>
        <v>1958.2637122978897</v>
      </c>
      <c r="L44" s="26">
        <f t="shared" si="7"/>
        <v>78254.393791992901</v>
      </c>
      <c r="M44" s="36">
        <f>[2]Лист2!$AC$42</f>
        <v>1156.768</v>
      </c>
      <c r="N44" s="125">
        <v>297.3</v>
      </c>
      <c r="O44" s="49">
        <v>184</v>
      </c>
      <c r="P44" s="27">
        <v>75</v>
      </c>
      <c r="Q44" s="27"/>
      <c r="R44" s="28"/>
      <c r="S44" s="29"/>
      <c r="T44" s="30"/>
      <c r="U44" s="30"/>
      <c r="V44" s="31">
        <f t="shared" si="9"/>
        <v>79967.461791992901</v>
      </c>
      <c r="W44" s="33">
        <f>M44/7</f>
        <v>165.25257142857143</v>
      </c>
      <c r="X44" s="34" t="e">
        <f>#REF!+#REF!+#REF!+#REF!</f>
        <v>#REF!</v>
      </c>
      <c r="Y44" s="32" t="e">
        <f>V44-X44</f>
        <v>#REF!</v>
      </c>
    </row>
    <row r="45" spans="1:25" s="33" customFormat="1" ht="15.75" customHeight="1" x14ac:dyDescent="0.25">
      <c r="A45" s="38">
        <v>38</v>
      </c>
      <c r="B45" s="124" t="s">
        <v>59</v>
      </c>
      <c r="C45" s="25">
        <f>'[1]Свод '!$J$46/1000</f>
        <v>4431.6803452793492</v>
      </c>
      <c r="D45" s="25">
        <f t="shared" si="0"/>
        <v>239.31073864508483</v>
      </c>
      <c r="E45" s="25">
        <f t="shared" si="1"/>
        <v>139.5979308762995</v>
      </c>
      <c r="F45" s="25">
        <f t="shared" si="2"/>
        <v>88.633606905586987</v>
      </c>
      <c r="G45" s="26">
        <f>'[3]Свод '!$L$44</f>
        <v>74040.307993314389</v>
      </c>
      <c r="H45" s="26">
        <f t="shared" si="3"/>
        <v>6170.0256661095327</v>
      </c>
      <c r="I45" s="26">
        <f t="shared" si="4"/>
        <v>3998.1766316389771</v>
      </c>
      <c r="J45" s="26">
        <f t="shared" si="5"/>
        <v>2332.2697017894038</v>
      </c>
      <c r="K45" s="26">
        <f t="shared" si="6"/>
        <v>2221.2092397994315</v>
      </c>
      <c r="L45" s="26">
        <f t="shared" si="7"/>
        <v>88761.989232651744</v>
      </c>
      <c r="M45" s="36">
        <f>[2]Лист2!$AC$43</f>
        <v>6076.88</v>
      </c>
      <c r="N45" s="125">
        <v>2052.8000000000002</v>
      </c>
      <c r="O45" s="49">
        <v>184</v>
      </c>
      <c r="P45" s="27">
        <v>62.5</v>
      </c>
      <c r="Q45" s="27"/>
      <c r="R45" s="28"/>
      <c r="S45" s="29"/>
      <c r="T45" s="30"/>
      <c r="U45" s="30"/>
      <c r="V45" s="31">
        <f t="shared" si="9"/>
        <v>97138.169232651751</v>
      </c>
      <c r="W45" s="33">
        <f>M45/7</f>
        <v>868.12571428571425</v>
      </c>
      <c r="X45" s="34" t="e">
        <f>#REF!+#REF!+#REF!+#REF!</f>
        <v>#REF!</v>
      </c>
      <c r="Y45" s="32" t="e">
        <f>V45-X45</f>
        <v>#REF!</v>
      </c>
    </row>
    <row r="46" spans="1:25" s="33" customFormat="1" ht="15.75" customHeight="1" x14ac:dyDescent="0.25">
      <c r="A46" s="38">
        <v>39</v>
      </c>
      <c r="B46" s="23" t="s">
        <v>60</v>
      </c>
      <c r="C46" s="25">
        <f>'[1]Свод '!$J$44/1000</f>
        <v>5387.8751330599744</v>
      </c>
      <c r="D46" s="25">
        <f t="shared" si="0"/>
        <v>290.94525718523857</v>
      </c>
      <c r="E46" s="25">
        <f t="shared" si="1"/>
        <v>169.7180666913892</v>
      </c>
      <c r="F46" s="25">
        <f t="shared" si="2"/>
        <v>107.7575026611995</v>
      </c>
      <c r="G46" s="26">
        <f>'[3]Свод '!$L$42</f>
        <v>97706.213209330832</v>
      </c>
      <c r="H46" s="26">
        <f t="shared" si="3"/>
        <v>8142.1844341109027</v>
      </c>
      <c r="I46" s="26">
        <f t="shared" si="4"/>
        <v>5276.1355133038642</v>
      </c>
      <c r="J46" s="26">
        <f t="shared" si="5"/>
        <v>3077.7457160939211</v>
      </c>
      <c r="K46" s="26">
        <f t="shared" si="6"/>
        <v>2931.1863962799248</v>
      </c>
      <c r="L46" s="26">
        <f t="shared" si="7"/>
        <v>117133.46526911945</v>
      </c>
      <c r="M46" s="36">
        <f>[2]Лист2!$AC$44</f>
        <v>2702.48</v>
      </c>
      <c r="N46" s="125">
        <v>501.3</v>
      </c>
      <c r="O46" s="49">
        <f>360+184</f>
        <v>544</v>
      </c>
      <c r="P46" s="27">
        <v>75</v>
      </c>
      <c r="Q46" s="27"/>
      <c r="R46" s="28"/>
      <c r="S46" s="29"/>
      <c r="T46" s="30"/>
      <c r="U46" s="30"/>
      <c r="V46" s="31">
        <f t="shared" si="9"/>
        <v>120956.24526911945</v>
      </c>
      <c r="W46" s="33">
        <f>M46/7</f>
        <v>386.06857142857143</v>
      </c>
      <c r="X46" s="34" t="e">
        <f>#REF!+#REF!+#REF!+#REF!</f>
        <v>#REF!</v>
      </c>
      <c r="Y46" s="32" t="e">
        <f>V46-X46</f>
        <v>#REF!</v>
      </c>
    </row>
    <row r="47" spans="1:25" s="33" customFormat="1" ht="27.75" customHeight="1" x14ac:dyDescent="0.25">
      <c r="A47" s="38">
        <v>40</v>
      </c>
      <c r="B47" s="124" t="s">
        <v>61</v>
      </c>
      <c r="C47" s="25">
        <f>'[1]Свод '!$J$40/1000</f>
        <v>4508.8782471876812</v>
      </c>
      <c r="D47" s="25">
        <f t="shared" si="0"/>
        <v>243.47942534813478</v>
      </c>
      <c r="E47" s="25">
        <f t="shared" si="1"/>
        <v>142.02966478641196</v>
      </c>
      <c r="F47" s="25">
        <f t="shared" si="2"/>
        <v>90.177564943753623</v>
      </c>
      <c r="G47" s="26">
        <f>'[3]Свод '!$L$38</f>
        <v>75862.352154252148</v>
      </c>
      <c r="H47" s="26">
        <f t="shared" si="3"/>
        <v>6321.8626795210121</v>
      </c>
      <c r="I47" s="26">
        <f t="shared" si="4"/>
        <v>4096.5670163296163</v>
      </c>
      <c r="J47" s="26">
        <f t="shared" si="5"/>
        <v>2389.6640928589427</v>
      </c>
      <c r="K47" s="26">
        <f t="shared" si="6"/>
        <v>2275.8705646275644</v>
      </c>
      <c r="L47" s="26">
        <f t="shared" si="7"/>
        <v>90946.31650758929</v>
      </c>
      <c r="M47" s="36">
        <f>[2]Лист2!$AC$46</f>
        <v>6799.12</v>
      </c>
      <c r="N47" s="125">
        <v>671</v>
      </c>
      <c r="O47" s="37">
        <f>209+184</f>
        <v>393</v>
      </c>
      <c r="P47" s="27">
        <v>150</v>
      </c>
      <c r="Q47" s="27"/>
      <c r="R47" s="28"/>
      <c r="S47" s="29"/>
      <c r="T47" s="30"/>
      <c r="U47" s="30"/>
      <c r="V47" s="31">
        <f t="shared" si="9"/>
        <v>98959.436507589286</v>
      </c>
      <c r="W47" s="33">
        <f>M47/7</f>
        <v>971.30285714285708</v>
      </c>
      <c r="X47" s="34" t="e">
        <f>#REF!+#REF!+#REF!+#REF!</f>
        <v>#REF!</v>
      </c>
      <c r="Y47" s="32" t="e">
        <f>V47-X47</f>
        <v>#REF!</v>
      </c>
    </row>
    <row r="48" spans="1:25" s="33" customFormat="1" ht="27" customHeight="1" x14ac:dyDescent="0.25">
      <c r="A48" s="38">
        <v>41</v>
      </c>
      <c r="B48" s="124" t="s">
        <v>62</v>
      </c>
      <c r="C48" s="25">
        <f>'[1]Свод '!$J$53/1000</f>
        <v>3357.7147371766973</v>
      </c>
      <c r="D48" s="25">
        <f t="shared" si="0"/>
        <v>181.31659580754166</v>
      </c>
      <c r="E48" s="25">
        <f t="shared" si="1"/>
        <v>105.76801422106597</v>
      </c>
      <c r="F48" s="25">
        <f t="shared" si="2"/>
        <v>67.154294743533953</v>
      </c>
      <c r="G48" s="26">
        <f>'[3]Свод '!$L$49</f>
        <v>52928.467496951336</v>
      </c>
      <c r="H48" s="26">
        <f t="shared" si="3"/>
        <v>4410.705624745945</v>
      </c>
      <c r="I48" s="26">
        <f t="shared" si="4"/>
        <v>2858.1372448353718</v>
      </c>
      <c r="J48" s="26">
        <f t="shared" si="5"/>
        <v>1667.2467261539673</v>
      </c>
      <c r="K48" s="26">
        <f t="shared" si="6"/>
        <v>1587.8540249085399</v>
      </c>
      <c r="L48" s="26">
        <f t="shared" si="7"/>
        <v>63452.411117595162</v>
      </c>
      <c r="M48" s="36">
        <f>[2]Лист2!$AC$48</f>
        <v>1323.4159999999999</v>
      </c>
      <c r="N48" s="125">
        <v>209.1</v>
      </c>
      <c r="O48" s="37">
        <f>208.3+92</f>
        <v>300.3</v>
      </c>
      <c r="P48" s="27">
        <v>75</v>
      </c>
      <c r="Q48" s="27"/>
      <c r="R48" s="28"/>
      <c r="S48" s="29"/>
      <c r="T48" s="30"/>
      <c r="U48" s="30"/>
      <c r="V48" s="31">
        <f t="shared" si="9"/>
        <v>65360.227117595161</v>
      </c>
      <c r="W48" s="33">
        <f>M48/7</f>
        <v>189.05942857142855</v>
      </c>
      <c r="X48" s="34" t="e">
        <f>#REF!+#REF!+#REF!+#REF!</f>
        <v>#REF!</v>
      </c>
      <c r="Y48" s="32" t="e">
        <f>V48-X48</f>
        <v>#REF!</v>
      </c>
    </row>
    <row r="49" spans="1:25" s="33" customFormat="1" ht="15.75" customHeight="1" x14ac:dyDescent="0.25">
      <c r="A49" s="38">
        <v>42</v>
      </c>
      <c r="B49" s="23" t="s">
        <v>63</v>
      </c>
      <c r="C49" s="25">
        <f>'[1]Свод '!$J$48/1000</f>
        <v>3733.4605312137242</v>
      </c>
      <c r="D49" s="25">
        <f t="shared" si="0"/>
        <v>201.60686868554112</v>
      </c>
      <c r="E49" s="25">
        <f t="shared" si="1"/>
        <v>117.60400673323232</v>
      </c>
      <c r="F49" s="25">
        <f t="shared" si="2"/>
        <v>74.669210624274484</v>
      </c>
      <c r="G49" s="26">
        <f>'[3]Свод '!$L$55</f>
        <v>22547.417720409179</v>
      </c>
      <c r="H49" s="26">
        <f t="shared" si="3"/>
        <v>1878.9514767007649</v>
      </c>
      <c r="I49" s="26">
        <f t="shared" si="4"/>
        <v>1217.5605569020956</v>
      </c>
      <c r="J49" s="26">
        <f t="shared" si="5"/>
        <v>710.24365819288926</v>
      </c>
      <c r="K49" s="26">
        <f t="shared" si="6"/>
        <v>676.42253161227541</v>
      </c>
      <c r="L49" s="26">
        <f t="shared" si="7"/>
        <v>27030.595943817203</v>
      </c>
      <c r="M49" s="36">
        <f>[2]Лист2!$AC$50</f>
        <v>3778.7359999999999</v>
      </c>
      <c r="N49" s="125">
        <v>1533</v>
      </c>
      <c r="O49" s="37">
        <f>360+184</f>
        <v>544</v>
      </c>
      <c r="P49" s="27">
        <v>62.5</v>
      </c>
      <c r="Q49" s="27"/>
      <c r="R49" s="28"/>
      <c r="S49" s="29"/>
      <c r="T49" s="30"/>
      <c r="U49" s="30"/>
      <c r="V49" s="31">
        <f t="shared" si="9"/>
        <v>32948.831943817204</v>
      </c>
      <c r="W49" s="33">
        <f>M49/7</f>
        <v>539.8194285714286</v>
      </c>
      <c r="X49" s="34" t="e">
        <f>#REF!+#REF!+#REF!+#REF!</f>
        <v>#REF!</v>
      </c>
      <c r="Y49" s="32" t="e">
        <f>V49-X49</f>
        <v>#REF!</v>
      </c>
    </row>
    <row r="50" spans="1:25" s="33" customFormat="1" ht="18" customHeight="1" x14ac:dyDescent="0.25">
      <c r="A50" s="22">
        <v>43</v>
      </c>
      <c r="B50" s="23" t="s">
        <v>64</v>
      </c>
      <c r="C50" s="25">
        <f>'[1]Свод '!$J$51/1000</f>
        <v>5683.7802916720584</v>
      </c>
      <c r="D50" s="25">
        <f t="shared" si="0"/>
        <v>306.92413575029116</v>
      </c>
      <c r="E50" s="25">
        <f t="shared" si="1"/>
        <v>179.03907918766987</v>
      </c>
      <c r="F50" s="25">
        <f t="shared" si="2"/>
        <v>113.67560583344117</v>
      </c>
      <c r="G50" s="26">
        <f>'[3]Свод '!$L$47</f>
        <v>117505.87139537421</v>
      </c>
      <c r="H50" s="26">
        <f t="shared" si="3"/>
        <v>9792.1559496145182</v>
      </c>
      <c r="I50" s="26">
        <f t="shared" si="4"/>
        <v>6345.3170553502068</v>
      </c>
      <c r="J50" s="26">
        <f t="shared" si="5"/>
        <v>3701.4349489542878</v>
      </c>
      <c r="K50" s="26">
        <f t="shared" si="6"/>
        <v>3525.1761418612264</v>
      </c>
      <c r="L50" s="26">
        <f t="shared" si="7"/>
        <v>140869.95549115445</v>
      </c>
      <c r="M50" s="36">
        <v>3927</v>
      </c>
      <c r="N50" s="126">
        <v>1158.7</v>
      </c>
      <c r="O50" s="37">
        <v>222</v>
      </c>
      <c r="P50" s="27">
        <v>187.5</v>
      </c>
      <c r="Q50" s="27">
        <v>160</v>
      </c>
      <c r="R50" s="28">
        <v>1416</v>
      </c>
      <c r="S50" s="29"/>
      <c r="T50" s="30"/>
      <c r="U50" s="30"/>
      <c r="V50" s="31">
        <f t="shared" si="9"/>
        <v>147941.15549115447</v>
      </c>
      <c r="W50" s="33">
        <f>M50/7</f>
        <v>561</v>
      </c>
      <c r="X50" s="34" t="e">
        <f>#REF!+#REF!+#REF!+#REF!</f>
        <v>#REF!</v>
      </c>
      <c r="Y50" s="32" t="e">
        <f>V50-X50</f>
        <v>#REF!</v>
      </c>
    </row>
    <row r="51" spans="1:25" s="33" customFormat="1" ht="15.75" customHeight="1" x14ac:dyDescent="0.25">
      <c r="A51" s="35">
        <v>44</v>
      </c>
      <c r="B51" s="124" t="s">
        <v>65</v>
      </c>
      <c r="C51" s="25">
        <f>'[1]Свод '!$J$52/1000</f>
        <v>3830.8684139168495</v>
      </c>
      <c r="D51" s="25">
        <f t="shared" si="0"/>
        <v>206.86689435150984</v>
      </c>
      <c r="E51" s="25">
        <f t="shared" si="1"/>
        <v>120.67235503838077</v>
      </c>
      <c r="F51" s="25">
        <f t="shared" si="2"/>
        <v>76.617368278336997</v>
      </c>
      <c r="G51" s="26">
        <f>'[3]Свод '!$L$48</f>
        <v>44261.867354351205</v>
      </c>
      <c r="H51" s="26">
        <f t="shared" si="3"/>
        <v>3688.4889461959337</v>
      </c>
      <c r="I51" s="26">
        <f t="shared" si="4"/>
        <v>2390.1408371349648</v>
      </c>
      <c r="J51" s="26">
        <f t="shared" si="5"/>
        <v>1394.2488216620632</v>
      </c>
      <c r="K51" s="26">
        <f t="shared" si="6"/>
        <v>1327.856020630536</v>
      </c>
      <c r="L51" s="26">
        <f t="shared" si="7"/>
        <v>53062.601979974701</v>
      </c>
      <c r="M51" s="36">
        <f>[2]Лист2!$AC$52</f>
        <v>5415.3200000000006</v>
      </c>
      <c r="N51" s="125">
        <v>659.8</v>
      </c>
      <c r="O51" s="37">
        <f>208.3+184</f>
        <v>392.3</v>
      </c>
      <c r="P51" s="27">
        <v>125</v>
      </c>
      <c r="Q51" s="27"/>
      <c r="R51" s="28"/>
      <c r="S51" s="29"/>
      <c r="T51" s="30"/>
      <c r="U51" s="30"/>
      <c r="V51" s="31">
        <f t="shared" si="9"/>
        <v>59655.021979974706</v>
      </c>
      <c r="W51" s="33">
        <f>M51/7</f>
        <v>773.61714285714299</v>
      </c>
      <c r="X51" s="34" t="e">
        <f>#REF!+#REF!+#REF!+#REF!</f>
        <v>#REF!</v>
      </c>
      <c r="Y51" s="32" t="e">
        <f>V51-X51</f>
        <v>#REF!</v>
      </c>
    </row>
    <row r="52" spans="1:25" s="33" customFormat="1" ht="15.75" customHeight="1" x14ac:dyDescent="0.25">
      <c r="A52" s="38">
        <v>45</v>
      </c>
      <c r="B52" s="23" t="s">
        <v>66</v>
      </c>
      <c r="C52" s="25">
        <f>'[1]Свод '!$J$55/1000</f>
        <v>4295.9332007964895</v>
      </c>
      <c r="D52" s="25">
        <f t="shared" si="0"/>
        <v>231.98039284301043</v>
      </c>
      <c r="E52" s="25">
        <f t="shared" si="1"/>
        <v>135.32189582508943</v>
      </c>
      <c r="F52" s="25">
        <f t="shared" si="2"/>
        <v>85.918664015929792</v>
      </c>
      <c r="G52" s="26">
        <f>'[3]Свод '!$L$50</f>
        <v>94163.45773464386</v>
      </c>
      <c r="H52" s="26">
        <f t="shared" si="3"/>
        <v>7846.954811220322</v>
      </c>
      <c r="I52" s="26">
        <f t="shared" si="4"/>
        <v>5084.8267176707677</v>
      </c>
      <c r="J52" s="26">
        <f t="shared" si="5"/>
        <v>2966.1489186412819</v>
      </c>
      <c r="K52" s="26">
        <f t="shared" si="6"/>
        <v>2824.9037320393159</v>
      </c>
      <c r="L52" s="26">
        <f t="shared" si="7"/>
        <v>112886.29191421554</v>
      </c>
      <c r="M52" s="36">
        <f>[2]Лист2!$AC$53</f>
        <v>441.04</v>
      </c>
      <c r="N52" s="125">
        <v>321.10000000000002</v>
      </c>
      <c r="O52" s="37">
        <v>184</v>
      </c>
      <c r="P52" s="27">
        <v>150</v>
      </c>
      <c r="Q52" s="27"/>
      <c r="R52" s="45">
        <f>2133*205/1000</f>
        <v>437.26499999999999</v>
      </c>
      <c r="S52" s="29"/>
      <c r="T52" s="30"/>
      <c r="U52" s="30"/>
      <c r="V52" s="31">
        <f t="shared" si="9"/>
        <v>114419.69691421554</v>
      </c>
      <c r="W52" s="33">
        <f>M52/7</f>
        <v>63.005714285714291</v>
      </c>
      <c r="X52" s="34" t="e">
        <f>#REF!+#REF!+#REF!+#REF!</f>
        <v>#REF!</v>
      </c>
      <c r="Y52" s="32" t="e">
        <f>V52-X52</f>
        <v>#REF!</v>
      </c>
    </row>
    <row r="53" spans="1:25" s="33" customFormat="1" ht="15.75" customHeight="1" x14ac:dyDescent="0.25">
      <c r="A53" s="38">
        <v>46</v>
      </c>
      <c r="B53" s="124" t="s">
        <v>67</v>
      </c>
      <c r="C53" s="25">
        <f>'[1]Свод '!$J$56/1000</f>
        <v>3834.7523088121143</v>
      </c>
      <c r="D53" s="25">
        <f t="shared" si="0"/>
        <v>207.07662467585416</v>
      </c>
      <c r="E53" s="25">
        <f t="shared" si="1"/>
        <v>120.79469772758162</v>
      </c>
      <c r="F53" s="25">
        <f t="shared" si="2"/>
        <v>76.695046176242286</v>
      </c>
      <c r="G53" s="26">
        <f>'[3]Свод '!$L$51</f>
        <v>48256.509934199763</v>
      </c>
      <c r="H53" s="26">
        <f t="shared" si="3"/>
        <v>4021.3758278499804</v>
      </c>
      <c r="I53" s="26">
        <f t="shared" si="4"/>
        <v>2605.8515364467871</v>
      </c>
      <c r="J53" s="26">
        <f t="shared" si="5"/>
        <v>1520.0800629272926</v>
      </c>
      <c r="K53" s="26">
        <f t="shared" si="6"/>
        <v>1447.6952980259928</v>
      </c>
      <c r="L53" s="26">
        <f t="shared" si="7"/>
        <v>57851.512659449822</v>
      </c>
      <c r="M53" s="36">
        <f>[2]Лист2!$AC$54</f>
        <v>367.92800000000005</v>
      </c>
      <c r="N53" s="125">
        <v>60.2</v>
      </c>
      <c r="O53" s="37">
        <v>184</v>
      </c>
      <c r="P53" s="27">
        <v>62.5</v>
      </c>
      <c r="Q53" s="27"/>
      <c r="R53" s="28">
        <f>1902*205/1000</f>
        <v>389.91</v>
      </c>
      <c r="S53" s="29"/>
      <c r="T53" s="30"/>
      <c r="U53" s="30"/>
      <c r="V53" s="31">
        <f t="shared" si="9"/>
        <v>58916.050659449822</v>
      </c>
      <c r="W53" s="33">
        <f>M53/7</f>
        <v>52.561142857142862</v>
      </c>
      <c r="X53" s="34" t="e">
        <f>#REF!+#REF!+#REF!+#REF!</f>
        <v>#REF!</v>
      </c>
      <c r="Y53" s="32" t="e">
        <f>V53-X53</f>
        <v>#REF!</v>
      </c>
    </row>
    <row r="54" spans="1:25" s="33" customFormat="1" ht="15.75" customHeight="1" x14ac:dyDescent="0.25">
      <c r="A54" s="38">
        <v>47</v>
      </c>
      <c r="B54" s="23" t="s">
        <v>68</v>
      </c>
      <c r="C54" s="25">
        <f>'[1]Свод '!$J$57/1000</f>
        <v>7420.7923418682676</v>
      </c>
      <c r="D54" s="25">
        <f t="shared" si="0"/>
        <v>400.72278646088643</v>
      </c>
      <c r="E54" s="25">
        <f t="shared" si="1"/>
        <v>233.75495876885043</v>
      </c>
      <c r="F54" s="25">
        <f t="shared" si="2"/>
        <v>148.41584683736536</v>
      </c>
      <c r="G54" s="26">
        <f>'[3]Свод '!$L$52</f>
        <v>119840.42740168481</v>
      </c>
      <c r="H54" s="26">
        <f t="shared" si="3"/>
        <v>9986.7022834737345</v>
      </c>
      <c r="I54" s="26">
        <f t="shared" si="4"/>
        <v>6471.3830796909788</v>
      </c>
      <c r="J54" s="26">
        <f t="shared" si="5"/>
        <v>3774.9734631530714</v>
      </c>
      <c r="K54" s="26">
        <f t="shared" si="6"/>
        <v>3595.2128220505442</v>
      </c>
      <c r="L54" s="26">
        <f t="shared" si="7"/>
        <v>143668.69905005314</v>
      </c>
      <c r="M54" s="36">
        <f>[2]Лист2!$AC$55</f>
        <v>5511.52</v>
      </c>
      <c r="N54" s="125">
        <v>1003.1</v>
      </c>
      <c r="O54" s="37">
        <v>432</v>
      </c>
      <c r="P54" s="27">
        <v>150</v>
      </c>
      <c r="Q54" s="27">
        <v>145</v>
      </c>
      <c r="R54" s="28"/>
      <c r="S54" s="29"/>
      <c r="T54" s="30"/>
      <c r="U54" s="30"/>
      <c r="V54" s="31">
        <f t="shared" si="9"/>
        <v>150910.31905005313</v>
      </c>
      <c r="W54" s="33">
        <f>M54/7</f>
        <v>787.36</v>
      </c>
      <c r="X54" s="34" t="e">
        <f>#REF!+#REF!+#REF!+#REF!</f>
        <v>#REF!</v>
      </c>
      <c r="Y54" s="32" t="e">
        <f>V54-X54</f>
        <v>#REF!</v>
      </c>
    </row>
    <row r="55" spans="1:25" s="33" customFormat="1" ht="15.75" customHeight="1" x14ac:dyDescent="0.25">
      <c r="A55" s="38">
        <v>48</v>
      </c>
      <c r="B55" s="124" t="s">
        <v>69</v>
      </c>
      <c r="C55" s="25">
        <f>'[1]Свод '!$J$58/1000</f>
        <v>3217.4119115719004</v>
      </c>
      <c r="D55" s="25">
        <f t="shared" si="0"/>
        <v>173.74024322488262</v>
      </c>
      <c r="E55" s="25">
        <f t="shared" si="1"/>
        <v>101.34847521451488</v>
      </c>
      <c r="F55" s="25">
        <f t="shared" si="2"/>
        <v>64.348238231438003</v>
      </c>
      <c r="G55" s="26">
        <f>'[3]Свод '!$L$53</f>
        <v>50180.777607022035</v>
      </c>
      <c r="H55" s="26">
        <f t="shared" si="3"/>
        <v>4181.731467251836</v>
      </c>
      <c r="I55" s="26">
        <f t="shared" si="4"/>
        <v>2709.76199077919</v>
      </c>
      <c r="J55" s="26">
        <f t="shared" si="5"/>
        <v>1580.6944946211943</v>
      </c>
      <c r="K55" s="26">
        <f t="shared" si="6"/>
        <v>1505.4233282106611</v>
      </c>
      <c r="L55" s="26">
        <f t="shared" si="7"/>
        <v>60158.38888788491</v>
      </c>
      <c r="M55" s="36">
        <f>[2]Лист2!$AC$56</f>
        <v>586.08000000000004</v>
      </c>
      <c r="N55" s="125">
        <v>250</v>
      </c>
      <c r="O55" s="37">
        <v>184</v>
      </c>
      <c r="P55" s="27">
        <v>62.5</v>
      </c>
      <c r="Q55" s="27"/>
      <c r="R55" s="28"/>
      <c r="S55" s="29"/>
      <c r="T55" s="30"/>
      <c r="U55" s="30"/>
      <c r="V55" s="31">
        <f t="shared" si="9"/>
        <v>61240.968887884912</v>
      </c>
      <c r="W55" s="33">
        <f>M55/7</f>
        <v>83.72571428571429</v>
      </c>
      <c r="X55" s="34" t="e">
        <f>#REF!+#REF!+#REF!+#REF!</f>
        <v>#REF!</v>
      </c>
      <c r="Y55" s="32" t="e">
        <f>V55-X55</f>
        <v>#REF!</v>
      </c>
    </row>
    <row r="56" spans="1:25" s="33" customFormat="1" ht="15.75" customHeight="1" x14ac:dyDescent="0.25">
      <c r="A56" s="38">
        <v>49</v>
      </c>
      <c r="B56" s="23" t="s">
        <v>70</v>
      </c>
      <c r="C56" s="51">
        <f>'[1]Свод '!$J$59/1000</f>
        <v>8821.5752963335181</v>
      </c>
      <c r="D56" s="25">
        <f t="shared" si="0"/>
        <v>476.36506600200994</v>
      </c>
      <c r="E56" s="25">
        <f t="shared" si="1"/>
        <v>277.87962183450583</v>
      </c>
      <c r="F56" s="25">
        <f t="shared" si="2"/>
        <v>176.43150592667035</v>
      </c>
      <c r="G56" s="26">
        <f>'[3]Свод '!$L$54</f>
        <v>162178.65255052669</v>
      </c>
      <c r="H56" s="26">
        <f t="shared" si="3"/>
        <v>13514.88771254389</v>
      </c>
      <c r="I56" s="26">
        <f t="shared" si="4"/>
        <v>8757.6472377284408</v>
      </c>
      <c r="J56" s="26">
        <f t="shared" si="5"/>
        <v>5108.6275553415917</v>
      </c>
      <c r="K56" s="26">
        <f t="shared" si="6"/>
        <v>4865.3595765158007</v>
      </c>
      <c r="L56" s="26">
        <f t="shared" si="7"/>
        <v>194425.17463265642</v>
      </c>
      <c r="M56" s="36">
        <v>3584</v>
      </c>
      <c r="N56" s="125">
        <v>1875.6</v>
      </c>
      <c r="O56" s="37">
        <v>1064</v>
      </c>
      <c r="P56" s="27">
        <v>290</v>
      </c>
      <c r="Q56" s="27">
        <v>165</v>
      </c>
      <c r="R56" s="28">
        <v>987</v>
      </c>
      <c r="S56" s="29"/>
      <c r="T56" s="30"/>
      <c r="U56" s="30"/>
      <c r="V56" s="31">
        <f t="shared" si="9"/>
        <v>202390.77463265642</v>
      </c>
      <c r="W56" s="33">
        <f>M56/7</f>
        <v>512</v>
      </c>
      <c r="X56" s="34" t="e">
        <f>#REF!+#REF!+#REF!+#REF!</f>
        <v>#REF!</v>
      </c>
      <c r="Y56" s="32" t="e">
        <f>V56-X56</f>
        <v>#REF!</v>
      </c>
    </row>
    <row r="57" spans="1:25" s="33" customFormat="1" ht="15.75" customHeight="1" x14ac:dyDescent="0.25">
      <c r="A57" s="22">
        <v>50</v>
      </c>
      <c r="B57" s="23" t="s">
        <v>71</v>
      </c>
      <c r="C57" s="51">
        <f>'[1]Свод '!$J$61/1000</f>
        <v>1148.8544637297257</v>
      </c>
      <c r="D57" s="25">
        <f t="shared" si="0"/>
        <v>62.038141041405183</v>
      </c>
      <c r="E57" s="25">
        <f t="shared" si="1"/>
        <v>36.188915607486358</v>
      </c>
      <c r="F57" s="25">
        <f t="shared" si="2"/>
        <v>22.977089274594515</v>
      </c>
      <c r="G57" s="26">
        <f>'[3]Свод '!$L$57</f>
        <v>25341.420992773466</v>
      </c>
      <c r="H57" s="26">
        <f t="shared" si="3"/>
        <v>2111.7850827311222</v>
      </c>
      <c r="I57" s="26">
        <f t="shared" si="4"/>
        <v>1368.4367336097671</v>
      </c>
      <c r="J57" s="26">
        <f t="shared" si="5"/>
        <v>798.25476127236436</v>
      </c>
      <c r="K57" s="26">
        <f t="shared" si="6"/>
        <v>760.24262978320394</v>
      </c>
      <c r="L57" s="26">
        <f t="shared" si="7"/>
        <v>30380.140200169924</v>
      </c>
      <c r="M57" s="36">
        <v>320</v>
      </c>
      <c r="N57" s="37">
        <v>75.8</v>
      </c>
      <c r="O57" s="37">
        <f>403.2+92</f>
        <v>495.2</v>
      </c>
      <c r="P57" s="27"/>
      <c r="Q57" s="27"/>
      <c r="R57" s="28"/>
      <c r="S57" s="29"/>
      <c r="T57" s="30"/>
      <c r="U57" s="30"/>
      <c r="V57" s="31">
        <f t="shared" si="9"/>
        <v>31271.140200169924</v>
      </c>
      <c r="W57" s="33">
        <f>M57/7</f>
        <v>45.714285714285715</v>
      </c>
      <c r="X57" s="34" t="e">
        <f>#REF!+#REF!+#REF!+#REF!</f>
        <v>#REF!</v>
      </c>
      <c r="Y57" s="32" t="e">
        <f>V57-X57</f>
        <v>#REF!</v>
      </c>
    </row>
    <row r="58" spans="1:25" s="33" customFormat="1" ht="15.75" customHeight="1" x14ac:dyDescent="0.25">
      <c r="A58" s="35">
        <v>51</v>
      </c>
      <c r="B58" s="23" t="s">
        <v>72</v>
      </c>
      <c r="C58" s="51">
        <f>'[1]Свод '!$J$63/1000</f>
        <v>1032.8425298943091</v>
      </c>
      <c r="D58" s="25">
        <f t="shared" si="0"/>
        <v>55.773496614292689</v>
      </c>
      <c r="E58" s="25">
        <f t="shared" si="1"/>
        <v>32.534539691670737</v>
      </c>
      <c r="F58" s="25">
        <f t="shared" si="2"/>
        <v>20.656850597886184</v>
      </c>
      <c r="G58" s="26">
        <f>'[3]Свод '!$L$59</f>
        <v>21955.920479780973</v>
      </c>
      <c r="H58" s="26">
        <f t="shared" si="3"/>
        <v>1829.6600399817478</v>
      </c>
      <c r="I58" s="26">
        <f t="shared" si="4"/>
        <v>1185.6197059081724</v>
      </c>
      <c r="J58" s="26">
        <f t="shared" si="5"/>
        <v>691.61149511310066</v>
      </c>
      <c r="K58" s="26">
        <f t="shared" si="6"/>
        <v>658.67761439342917</v>
      </c>
      <c r="L58" s="26">
        <f t="shared" si="7"/>
        <v>26321.489335177423</v>
      </c>
      <c r="M58" s="36">
        <f>[2]Лист2!$AC$59</f>
        <v>331.52000000000004</v>
      </c>
      <c r="N58" s="37">
        <v>153</v>
      </c>
      <c r="O58" s="37">
        <f>132+92</f>
        <v>224</v>
      </c>
      <c r="P58" s="27">
        <v>12.5</v>
      </c>
      <c r="Q58" s="27"/>
      <c r="R58" s="28"/>
      <c r="S58" s="29"/>
      <c r="T58" s="30"/>
      <c r="U58" s="30"/>
      <c r="V58" s="31">
        <f t="shared" si="9"/>
        <v>27042.509335177423</v>
      </c>
      <c r="W58" s="33">
        <f>M58/7</f>
        <v>47.360000000000007</v>
      </c>
      <c r="X58" s="34" t="e">
        <f>#REF!+#REF!+#REF!+#REF!</f>
        <v>#REF!</v>
      </c>
      <c r="Y58" s="32" t="e">
        <f>V58-X58</f>
        <v>#REF!</v>
      </c>
    </row>
    <row r="59" spans="1:25" s="33" customFormat="1" ht="15.75" customHeight="1" x14ac:dyDescent="0.25">
      <c r="A59" s="38">
        <v>52</v>
      </c>
      <c r="B59" s="23" t="s">
        <v>73</v>
      </c>
      <c r="C59" s="25">
        <f>'[1]Свод '!$J$62/1000</f>
        <v>1161.6303581651423</v>
      </c>
      <c r="D59" s="25">
        <f t="shared" si="0"/>
        <v>62.72803934091769</v>
      </c>
      <c r="E59" s="25">
        <f t="shared" si="1"/>
        <v>36.591356282201986</v>
      </c>
      <c r="F59" s="25">
        <f t="shared" si="2"/>
        <v>23.232607163302845</v>
      </c>
      <c r="G59" s="26">
        <f>'[3]Свод '!$L$58</f>
        <v>24991.92001654713</v>
      </c>
      <c r="H59" s="26">
        <f t="shared" si="3"/>
        <v>2082.6600013789275</v>
      </c>
      <c r="I59" s="26">
        <f t="shared" si="4"/>
        <v>1349.5636808935451</v>
      </c>
      <c r="J59" s="26">
        <f t="shared" si="5"/>
        <v>787.24548052123475</v>
      </c>
      <c r="K59" s="26">
        <f t="shared" si="6"/>
        <v>749.75760049641383</v>
      </c>
      <c r="L59" s="26">
        <f t="shared" si="7"/>
        <v>29961.146779837254</v>
      </c>
      <c r="M59" s="36">
        <f>[2]Лист2!$AC$64</f>
        <v>2134.16</v>
      </c>
      <c r="N59" s="37">
        <v>411</v>
      </c>
      <c r="O59" s="37">
        <f>359.8+92</f>
        <v>451.8</v>
      </c>
      <c r="P59" s="27">
        <v>62.5</v>
      </c>
      <c r="Q59" s="27"/>
      <c r="R59" s="28"/>
      <c r="S59" s="29"/>
      <c r="T59" s="30"/>
      <c r="U59" s="30"/>
      <c r="V59" s="31">
        <f t="shared" si="9"/>
        <v>33020.606779837253</v>
      </c>
      <c r="W59" s="33">
        <f>M59/7</f>
        <v>304.88</v>
      </c>
      <c r="X59" s="34" t="e">
        <f>#REF!+#REF!+#REF!+#REF!</f>
        <v>#REF!</v>
      </c>
      <c r="Y59" s="32" t="e">
        <f>V59-X59</f>
        <v>#REF!</v>
      </c>
    </row>
    <row r="60" spans="1:25" s="33" customFormat="1" ht="15.75" customHeight="1" x14ac:dyDescent="0.25">
      <c r="A60" s="38">
        <v>53</v>
      </c>
      <c r="B60" s="23" t="s">
        <v>74</v>
      </c>
      <c r="C60" s="51">
        <f>'[1]Свод '!$J$67/1000</f>
        <v>1292.3081337484759</v>
      </c>
      <c r="D60" s="25">
        <f t="shared" si="0"/>
        <v>69.784639222417695</v>
      </c>
      <c r="E60" s="25">
        <f t="shared" si="1"/>
        <v>40.707706213076996</v>
      </c>
      <c r="F60" s="25">
        <f t="shared" si="2"/>
        <v>25.84616267496952</v>
      </c>
      <c r="G60" s="26">
        <f>'[3]Свод '!$L$62</f>
        <v>19383.022421833692</v>
      </c>
      <c r="H60" s="26">
        <f t="shared" si="3"/>
        <v>1615.2518684861409</v>
      </c>
      <c r="I60" s="26">
        <f t="shared" si="4"/>
        <v>1046.6832107790192</v>
      </c>
      <c r="J60" s="26">
        <f t="shared" si="5"/>
        <v>610.56520628776127</v>
      </c>
      <c r="K60" s="26">
        <f t="shared" si="6"/>
        <v>581.49067265501071</v>
      </c>
      <c r="L60" s="26">
        <f t="shared" si="7"/>
        <v>23237.013380041622</v>
      </c>
      <c r="M60" s="36">
        <f>[2]Лист2!$AC$60</f>
        <v>867.28</v>
      </c>
      <c r="N60" s="37">
        <v>160</v>
      </c>
      <c r="O60" s="37">
        <v>132</v>
      </c>
      <c r="P60" s="27"/>
      <c r="Q60" s="27"/>
      <c r="R60" s="28"/>
      <c r="S60" s="29"/>
      <c r="T60" s="30"/>
      <c r="U60" s="30"/>
      <c r="V60" s="31">
        <f t="shared" si="9"/>
        <v>24396.293380041621</v>
      </c>
      <c r="W60" s="33">
        <f>M60/7</f>
        <v>123.89714285714285</v>
      </c>
      <c r="X60" s="34" t="e">
        <f>#REF!+#REF!+#REF!+#REF!</f>
        <v>#REF!</v>
      </c>
      <c r="Y60" s="32" t="e">
        <f>V60-X60</f>
        <v>#REF!</v>
      </c>
    </row>
    <row r="61" spans="1:25" s="33" customFormat="1" ht="15.75" customHeight="1" x14ac:dyDescent="0.25">
      <c r="A61" s="38">
        <v>54</v>
      </c>
      <c r="B61" s="23" t="s">
        <v>75</v>
      </c>
      <c r="C61" s="25">
        <f>'[1]Свод '!$J$64/1000</f>
        <v>869.21372860378051</v>
      </c>
      <c r="D61" s="25">
        <f t="shared" si="0"/>
        <v>46.937541344604149</v>
      </c>
      <c r="E61" s="25">
        <f t="shared" si="1"/>
        <v>27.38023245101909</v>
      </c>
      <c r="F61" s="25">
        <f t="shared" si="2"/>
        <v>17.384274572075611</v>
      </c>
      <c r="G61" s="26">
        <f>'[3]Свод '!$L$60</f>
        <v>18001.303422733472</v>
      </c>
      <c r="H61" s="26">
        <f t="shared" si="3"/>
        <v>1500.1086185611227</v>
      </c>
      <c r="I61" s="26">
        <f t="shared" si="4"/>
        <v>972.07038482760743</v>
      </c>
      <c r="J61" s="26">
        <f t="shared" si="5"/>
        <v>567.0410578161044</v>
      </c>
      <c r="K61" s="26">
        <f t="shared" si="6"/>
        <v>540.03910268200411</v>
      </c>
      <c r="L61" s="26">
        <f t="shared" si="7"/>
        <v>21580.562586620308</v>
      </c>
      <c r="M61" s="36">
        <f>[2]Лист2!$AC$61</f>
        <v>1309.5039999999997</v>
      </c>
      <c r="N61" s="37">
        <v>58.6</v>
      </c>
      <c r="O61" s="37">
        <v>184</v>
      </c>
      <c r="P61" s="27">
        <v>12.5</v>
      </c>
      <c r="Q61" s="27"/>
      <c r="R61" s="28"/>
      <c r="S61" s="29"/>
      <c r="T61" s="30"/>
      <c r="U61" s="30"/>
      <c r="V61" s="31">
        <f t="shared" si="9"/>
        <v>23145.166586620307</v>
      </c>
      <c r="W61" s="33">
        <f>M61/7</f>
        <v>187.07199999999995</v>
      </c>
      <c r="X61" s="34" t="e">
        <f>#REF!+#REF!+#REF!+#REF!</f>
        <v>#REF!</v>
      </c>
      <c r="Y61" s="32" t="e">
        <f>V61-X61</f>
        <v>#REF!</v>
      </c>
    </row>
    <row r="62" spans="1:25" s="33" customFormat="1" ht="15.75" customHeight="1" x14ac:dyDescent="0.25">
      <c r="A62" s="38">
        <v>55</v>
      </c>
      <c r="B62" s="23" t="s">
        <v>76</v>
      </c>
      <c r="C62" s="51">
        <f>'[1]Свод '!$J$65/1000</f>
        <v>1154.8102987829473</v>
      </c>
      <c r="D62" s="25">
        <f t="shared" si="0"/>
        <v>62.359756134279145</v>
      </c>
      <c r="E62" s="25">
        <f t="shared" si="1"/>
        <v>36.376524411662842</v>
      </c>
      <c r="F62" s="25">
        <f t="shared" si="2"/>
        <v>23.096205975658947</v>
      </c>
      <c r="G62" s="26">
        <v>20209.714353343468</v>
      </c>
      <c r="H62" s="26">
        <f t="shared" si="3"/>
        <v>1684.1428627786224</v>
      </c>
      <c r="I62" s="26">
        <f t="shared" si="4"/>
        <v>1091.3245750805472</v>
      </c>
      <c r="J62" s="26">
        <f t="shared" si="5"/>
        <v>636.60600213031933</v>
      </c>
      <c r="K62" s="26">
        <f t="shared" si="6"/>
        <v>606.29143060030401</v>
      </c>
      <c r="L62" s="26">
        <f t="shared" si="7"/>
        <v>24228.079223933262</v>
      </c>
      <c r="M62" s="36">
        <v>601</v>
      </c>
      <c r="N62" s="37">
        <v>90.6</v>
      </c>
      <c r="O62" s="37">
        <v>184</v>
      </c>
      <c r="P62" s="27">
        <v>62.5</v>
      </c>
      <c r="Q62" s="27"/>
      <c r="R62" s="28"/>
      <c r="S62" s="29"/>
      <c r="T62" s="30"/>
      <c r="U62" s="30"/>
      <c r="V62" s="31">
        <f t="shared" si="9"/>
        <v>25166.179223933261</v>
      </c>
      <c r="W62" s="33">
        <f>M62/7</f>
        <v>85.857142857142861</v>
      </c>
      <c r="X62" s="34" t="e">
        <f>#REF!+#REF!+#REF!+#REF!</f>
        <v>#REF!</v>
      </c>
      <c r="Y62" s="32" t="e">
        <f>V62-X62</f>
        <v>#REF!</v>
      </c>
    </row>
    <row r="63" spans="1:25" s="33" customFormat="1" ht="18.75" customHeight="1" x14ac:dyDescent="0.25">
      <c r="A63" s="22">
        <v>56</v>
      </c>
      <c r="B63" s="23" t="s">
        <v>77</v>
      </c>
      <c r="C63" s="25">
        <f>'[1]Свод '!$J$60/1000</f>
        <v>1565.6191166996141</v>
      </c>
      <c r="D63" s="25">
        <f t="shared" si="0"/>
        <v>84.543432301779163</v>
      </c>
      <c r="E63" s="25">
        <f t="shared" si="1"/>
        <v>49.317002176037853</v>
      </c>
      <c r="F63" s="25">
        <f t="shared" si="2"/>
        <v>31.312382333992282</v>
      </c>
      <c r="G63" s="26">
        <f>'[3]Свод '!$L$56</f>
        <v>29627.26956354353</v>
      </c>
      <c r="H63" s="26">
        <f t="shared" si="3"/>
        <v>2468.939130295294</v>
      </c>
      <c r="I63" s="26">
        <f t="shared" si="4"/>
        <v>1599.8725564313506</v>
      </c>
      <c r="J63" s="26">
        <f t="shared" si="5"/>
        <v>933.2589912516213</v>
      </c>
      <c r="K63" s="26">
        <f t="shared" si="6"/>
        <v>888.81808690630589</v>
      </c>
      <c r="L63" s="26">
        <f t="shared" si="7"/>
        <v>35518.158328428101</v>
      </c>
      <c r="M63" s="36">
        <f>[2]Лист2!$AC$63</f>
        <v>1217.152</v>
      </c>
      <c r="N63" s="37">
        <v>73.8</v>
      </c>
      <c r="O63" s="37">
        <f>416.6+208+184</f>
        <v>808.6</v>
      </c>
      <c r="P63" s="27">
        <v>75</v>
      </c>
      <c r="Q63" s="27">
        <v>145</v>
      </c>
      <c r="R63" s="28"/>
      <c r="S63" s="29"/>
      <c r="T63" s="30"/>
      <c r="U63" s="30"/>
      <c r="V63" s="31">
        <f t="shared" si="9"/>
        <v>37837.710328428104</v>
      </c>
      <c r="W63" s="33">
        <f>M63/7</f>
        <v>173.87885714285716</v>
      </c>
      <c r="X63" s="34" t="e">
        <f>#REF!+#REF!+#REF!+#REF!</f>
        <v>#REF!</v>
      </c>
      <c r="Y63" s="32" t="e">
        <f>V63-X63</f>
        <v>#REF!</v>
      </c>
    </row>
    <row r="64" spans="1:25" s="33" customFormat="1" ht="19.5" customHeight="1" x14ac:dyDescent="0.25">
      <c r="A64" s="35">
        <v>57</v>
      </c>
      <c r="B64" s="52" t="s">
        <v>79</v>
      </c>
      <c r="C64" s="25">
        <f>'[1]Свод '!$J$69/1000</f>
        <v>4058.4899515520833</v>
      </c>
      <c r="D64" s="25">
        <f t="shared" si="0"/>
        <v>219.1584573838125</v>
      </c>
      <c r="E64" s="25">
        <f t="shared" si="1"/>
        <v>127.84243347389064</v>
      </c>
      <c r="F64" s="25">
        <f t="shared" si="2"/>
        <v>81.169799031041663</v>
      </c>
      <c r="G64" s="26">
        <v>75084.290366505011</v>
      </c>
      <c r="H64" s="26">
        <f t="shared" si="3"/>
        <v>6257.0241972087506</v>
      </c>
      <c r="I64" s="26">
        <f t="shared" si="4"/>
        <v>4054.5516797912705</v>
      </c>
      <c r="J64" s="26">
        <f>(G64-G64*10%)*3.5%</f>
        <v>2365.1551465449079</v>
      </c>
      <c r="K64" s="26">
        <f t="shared" si="6"/>
        <v>2252.52871099515</v>
      </c>
      <c r="L64" s="26">
        <f t="shared" si="7"/>
        <v>90013.550101045083</v>
      </c>
      <c r="M64" s="36"/>
      <c r="N64" s="37"/>
      <c r="O64" s="37"/>
      <c r="P64" s="27"/>
      <c r="Q64" s="27"/>
      <c r="R64" s="28"/>
      <c r="S64" s="29"/>
      <c r="T64" s="30"/>
      <c r="U64" s="30"/>
      <c r="V64" s="31">
        <f>L64+M64+N64+O64+P64+S64+R64+T64+U64+Q64</f>
        <v>90013.550101045083</v>
      </c>
      <c r="W64" s="33">
        <f>M64/7</f>
        <v>0</v>
      </c>
      <c r="X64" s="34" t="e">
        <f>#REF!+#REF!+#REF!+#REF!</f>
        <v>#REF!</v>
      </c>
      <c r="Y64" s="32" t="e">
        <f>V64-X64</f>
        <v>#REF!</v>
      </c>
    </row>
    <row r="65" spans="1:25" s="54" customFormat="1" ht="27" customHeight="1" x14ac:dyDescent="0.25">
      <c r="A65" s="163" t="s">
        <v>80</v>
      </c>
      <c r="B65" s="164"/>
      <c r="C65" s="53">
        <f>SUM(C8:C64)</f>
        <v>412978.54931390949</v>
      </c>
      <c r="D65" s="25">
        <f>(C65-C65*10%)*6%</f>
        <v>22300.841662951112</v>
      </c>
      <c r="E65" s="25">
        <f>(C65-C65*10%)*3.5%</f>
        <v>13008.82430338815</v>
      </c>
      <c r="F65" s="25">
        <f>C65*2%</f>
        <v>8259.5709862781896</v>
      </c>
      <c r="G65" s="110">
        <f>SUM(G8:G64)</f>
        <v>7553800.568174297</v>
      </c>
      <c r="H65" s="96"/>
      <c r="I65" s="110">
        <f>SUM(I8:I64)</f>
        <v>407905.23068141204</v>
      </c>
      <c r="J65" s="110">
        <f>SUM(J8:J64)</f>
        <v>237944.71789749037</v>
      </c>
      <c r="K65" s="110">
        <f>SUM(K8:K64)</f>
        <v>226614.01704522889</v>
      </c>
      <c r="L65" s="96">
        <f>G65+I65+J65+K65+H65</f>
        <v>8426264.5337984283</v>
      </c>
      <c r="M65" s="110">
        <f t="shared" ref="M65:U65" si="10">SUM(M8:M64)</f>
        <v>270583.71600000001</v>
      </c>
      <c r="N65" s="134">
        <f t="shared" si="10"/>
        <v>72250.100000000035</v>
      </c>
      <c r="O65" s="110">
        <f t="shared" si="10"/>
        <v>39904.30000000001</v>
      </c>
      <c r="P65" s="110">
        <f t="shared" si="10"/>
        <v>7481</v>
      </c>
      <c r="Q65" s="110">
        <f t="shared" si="10"/>
        <v>2297</v>
      </c>
      <c r="R65" s="110">
        <f t="shared" si="10"/>
        <v>20184.95</v>
      </c>
      <c r="S65" s="110">
        <f t="shared" si="10"/>
        <v>0</v>
      </c>
      <c r="T65" s="110">
        <f t="shared" si="10"/>
        <v>0</v>
      </c>
      <c r="U65" s="110">
        <f t="shared" si="10"/>
        <v>0</v>
      </c>
      <c r="V65" s="90">
        <f>L65+M65+N65+O65+P65+S65+R65+T65+U65+Q65</f>
        <v>8838965.5997984279</v>
      </c>
      <c r="X65" s="34" t="e">
        <f>#REF!+#REF!+#REF!+#REF!</f>
        <v>#REF!</v>
      </c>
      <c r="Y65" s="55"/>
    </row>
    <row r="66" spans="1:25" s="33" customFormat="1" ht="19.5" customHeight="1" x14ac:dyDescent="0.25">
      <c r="A66" s="113"/>
      <c r="B66" s="113"/>
      <c r="C66" s="114"/>
      <c r="D66" s="114"/>
      <c r="E66" s="114"/>
      <c r="F66" s="114"/>
      <c r="G66" s="115"/>
      <c r="H66" s="115"/>
      <c r="I66" s="115"/>
      <c r="J66" s="115"/>
      <c r="K66" s="115"/>
      <c r="L66" s="115"/>
      <c r="M66" s="116"/>
      <c r="N66" s="135"/>
      <c r="O66" s="117"/>
      <c r="P66" s="118"/>
      <c r="Q66" s="118"/>
      <c r="R66" s="117"/>
      <c r="S66" s="117"/>
      <c r="T66" s="117"/>
      <c r="U66" s="117"/>
      <c r="V66" s="119" t="s">
        <v>81</v>
      </c>
    </row>
    <row r="67" spans="1:25" ht="18.75" x14ac:dyDescent="0.3">
      <c r="A67" s="59"/>
      <c r="B67" s="60"/>
      <c r="C67" s="61"/>
      <c r="D67" s="61"/>
      <c r="E67" s="61"/>
      <c r="F67" s="61"/>
      <c r="G67" s="165"/>
      <c r="H67" s="165"/>
      <c r="I67" s="62"/>
      <c r="J67" s="62"/>
      <c r="K67" s="62"/>
      <c r="L67" s="56"/>
      <c r="M67" s="56"/>
      <c r="N67" s="136"/>
      <c r="O67" s="57"/>
      <c r="P67" s="57"/>
      <c r="Q67" s="57"/>
      <c r="R67" s="57"/>
      <c r="S67" s="57"/>
      <c r="T67" s="57"/>
      <c r="U67" s="57"/>
      <c r="V67" s="58"/>
    </row>
    <row r="68" spans="1:25" ht="18.75" x14ac:dyDescent="0.3">
      <c r="A68" s="59"/>
      <c r="B68" s="59"/>
      <c r="C68" s="63"/>
      <c r="D68" s="63"/>
      <c r="E68" s="63"/>
      <c r="F68" s="63"/>
      <c r="G68" s="64"/>
      <c r="H68" s="64"/>
      <c r="I68" s="64"/>
      <c r="J68" s="64"/>
      <c r="K68" s="64"/>
      <c r="L68" s="56"/>
      <c r="M68" s="56"/>
      <c r="N68" s="137"/>
      <c r="O68" s="56"/>
      <c r="P68" s="57"/>
      <c r="Q68" s="57"/>
      <c r="R68" s="57"/>
      <c r="S68" s="57"/>
      <c r="T68" s="57"/>
      <c r="U68" s="57"/>
      <c r="V68" s="58"/>
    </row>
    <row r="69" spans="1:25" ht="15.75" x14ac:dyDescent="0.25">
      <c r="A69" s="65"/>
      <c r="B69" s="66"/>
      <c r="C69" s="67"/>
      <c r="D69" s="67"/>
      <c r="E69" s="67"/>
      <c r="F69" s="67"/>
      <c r="G69" s="68"/>
      <c r="H69" s="68"/>
      <c r="I69" s="68"/>
      <c r="J69" s="68"/>
      <c r="K69" s="68"/>
      <c r="L69" s="68"/>
      <c r="M69" s="68"/>
      <c r="N69" s="136"/>
      <c r="O69" s="57"/>
      <c r="P69" s="57"/>
      <c r="Q69" s="57"/>
      <c r="R69" s="57"/>
      <c r="S69" s="57"/>
      <c r="T69" s="57"/>
      <c r="U69" s="57"/>
      <c r="V69" s="58"/>
    </row>
    <row r="70" spans="1:25" ht="15.75" x14ac:dyDescent="0.25">
      <c r="A70" s="65"/>
      <c r="B70" s="66"/>
      <c r="C70" s="67"/>
      <c r="D70" s="67"/>
      <c r="E70" s="67"/>
      <c r="F70" s="67"/>
      <c r="G70" s="68"/>
      <c r="H70" s="68"/>
      <c r="I70" s="68"/>
      <c r="J70" s="68"/>
      <c r="K70" s="68"/>
      <c r="L70" s="68"/>
      <c r="M70" s="68"/>
      <c r="N70" s="137"/>
      <c r="O70" s="57"/>
      <c r="P70" s="57"/>
      <c r="Q70" s="57"/>
      <c r="R70" s="57"/>
      <c r="S70" s="57"/>
      <c r="T70" s="57"/>
      <c r="U70" s="57"/>
      <c r="V70" s="58"/>
    </row>
    <row r="71" spans="1:25" ht="15.75" x14ac:dyDescent="0.25">
      <c r="A71" s="65"/>
      <c r="B71" s="65"/>
      <c r="C71" s="69"/>
      <c r="D71" s="69"/>
      <c r="E71" s="69"/>
      <c r="F71" s="69"/>
      <c r="G71" s="56"/>
      <c r="H71" s="56"/>
      <c r="I71" s="56"/>
      <c r="J71" s="56"/>
      <c r="K71" s="56"/>
      <c r="L71" s="56"/>
      <c r="M71" s="56"/>
      <c r="N71" s="136"/>
      <c r="O71" s="57"/>
      <c r="P71" s="57"/>
      <c r="Q71" s="57"/>
      <c r="R71" s="57"/>
      <c r="S71" s="57"/>
      <c r="T71" s="57"/>
      <c r="U71" s="57"/>
      <c r="V71" s="58"/>
    </row>
    <row r="72" spans="1:25" x14ac:dyDescent="0.25">
      <c r="N72" s="138"/>
    </row>
    <row r="73" spans="1:25" x14ac:dyDescent="0.25">
      <c r="N73" s="138"/>
    </row>
  </sheetData>
  <mergeCells count="16">
    <mergeCell ref="A65:B65"/>
    <mergeCell ref="G67:H67"/>
    <mergeCell ref="B4:J4"/>
    <mergeCell ref="D6:F6"/>
    <mergeCell ref="I6:K6"/>
    <mergeCell ref="M6:Q6"/>
    <mergeCell ref="R6:R7"/>
    <mergeCell ref="T3:T7"/>
    <mergeCell ref="U3:U7"/>
    <mergeCell ref="V3:V7"/>
    <mergeCell ref="S3:S7"/>
    <mergeCell ref="B1:K1"/>
    <mergeCell ref="B2:P2"/>
    <mergeCell ref="I3:K3"/>
    <mergeCell ref="L3:L7"/>
    <mergeCell ref="M3:R3"/>
  </mergeCells>
  <pageMargins left="0.11811023622047245" right="0" top="0.15748031496062992" bottom="0.35433070866141736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9"/>
  <sheetViews>
    <sheetView workbookViewId="0">
      <selection activeCell="O9" sqref="O9:P9"/>
    </sheetView>
  </sheetViews>
  <sheetFormatPr defaultRowHeight="15" x14ac:dyDescent="0.25"/>
  <cols>
    <col min="1" max="1" width="5.140625" customWidth="1"/>
    <col min="2" max="2" width="4.5703125" customWidth="1"/>
    <col min="3" max="3" width="24.140625" customWidth="1"/>
    <col min="4" max="4" width="15.7109375" style="70" hidden="1" customWidth="1"/>
    <col min="5" max="5" width="12.7109375" style="70" hidden="1" customWidth="1"/>
    <col min="6" max="6" width="10.5703125" style="70" hidden="1" customWidth="1"/>
    <col min="7" max="7" width="11.42578125" style="70" hidden="1" customWidth="1"/>
    <col min="8" max="8" width="13.7109375" style="71" customWidth="1"/>
    <col min="9" max="9" width="10.42578125" style="71" customWidth="1"/>
    <col min="10" max="10" width="10.5703125" style="71" customWidth="1"/>
    <col min="11" max="11" width="10.140625" style="71" customWidth="1"/>
    <col min="12" max="12" width="11.28515625" style="71" customWidth="1"/>
    <col min="13" max="13" width="13.140625" style="71" customWidth="1"/>
    <col min="14" max="14" width="15.7109375" style="71" hidden="1" customWidth="1"/>
    <col min="15" max="15" width="12.140625" style="72" customWidth="1"/>
    <col min="16" max="16" width="12.28515625" style="72" customWidth="1"/>
    <col min="17" max="17" width="10.5703125" style="72" hidden="1" customWidth="1"/>
    <col min="18" max="18" width="9.42578125" style="72" customWidth="1"/>
    <col min="19" max="19" width="11.85546875" style="72" customWidth="1"/>
    <col min="20" max="20" width="11" style="72" hidden="1" customWidth="1"/>
    <col min="21" max="22" width="10.7109375" style="72" hidden="1" customWidth="1"/>
    <col min="23" max="23" width="13.28515625" style="4" customWidth="1"/>
    <col min="24" max="24" width="13" customWidth="1"/>
    <col min="25" max="25" width="9.140625" hidden="1" customWidth="1"/>
    <col min="26" max="26" width="11.5703125" customWidth="1"/>
    <col min="27" max="27" width="12" customWidth="1"/>
    <col min="28" max="28" width="13.85546875" customWidth="1"/>
    <col min="29" max="29" width="0.140625" customWidth="1"/>
    <col min="30" max="30" width="11.42578125" hidden="1" customWidth="1"/>
    <col min="31" max="31" width="12.140625" hidden="1" customWidth="1"/>
  </cols>
  <sheetData>
    <row r="3" spans="2:32" ht="20.25" x14ac:dyDescent="0.3">
      <c r="B3" s="1"/>
      <c r="C3" s="79" t="s">
        <v>84</v>
      </c>
      <c r="D3" s="79"/>
      <c r="E3" s="79"/>
      <c r="F3" s="79"/>
      <c r="G3" s="79"/>
      <c r="H3" s="79"/>
      <c r="I3" s="79"/>
      <c r="J3" s="79"/>
      <c r="K3" s="79"/>
      <c r="L3" s="79"/>
      <c r="M3" s="2"/>
      <c r="N3" s="3"/>
      <c r="O3" s="2"/>
      <c r="P3" s="2"/>
      <c r="Q3" s="2"/>
      <c r="R3" s="2"/>
      <c r="S3" s="2"/>
      <c r="T3" s="2"/>
      <c r="U3" s="2"/>
      <c r="V3" s="2"/>
      <c r="W3" s="80"/>
      <c r="X3" s="81"/>
      <c r="Y3" s="81"/>
      <c r="Z3" s="81"/>
      <c r="AA3" s="81"/>
      <c r="AB3" s="81"/>
      <c r="AC3" s="81"/>
      <c r="AD3" s="81"/>
      <c r="AE3" s="81"/>
      <c r="AF3" s="81"/>
    </row>
    <row r="4" spans="2:32" ht="20.25" x14ac:dyDescent="0.3">
      <c r="B4" s="1"/>
      <c r="C4" s="79"/>
      <c r="D4" s="79"/>
      <c r="E4" s="79"/>
      <c r="F4" s="79"/>
      <c r="G4" s="79"/>
      <c r="H4" s="79"/>
      <c r="I4" s="79"/>
      <c r="J4" s="79"/>
      <c r="K4" s="79"/>
      <c r="L4" s="79"/>
      <c r="M4" s="2"/>
      <c r="N4" s="3"/>
      <c r="O4" s="2"/>
      <c r="P4" s="2"/>
      <c r="Q4" s="2"/>
      <c r="R4" s="2"/>
      <c r="S4" s="2"/>
      <c r="T4" s="2"/>
      <c r="U4" s="2"/>
      <c r="V4" s="2"/>
      <c r="W4" s="80"/>
      <c r="X4" s="81"/>
      <c r="Y4" s="81"/>
      <c r="Z4" s="81"/>
      <c r="AA4" s="81"/>
      <c r="AB4" s="81"/>
      <c r="AC4" s="81"/>
      <c r="AD4" s="81"/>
      <c r="AE4" s="81"/>
      <c r="AF4" s="81"/>
    </row>
    <row r="5" spans="2:32" ht="15.75" x14ac:dyDescent="0.25">
      <c r="B5" s="81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82"/>
      <c r="S5" s="83"/>
      <c r="T5" s="84"/>
      <c r="U5" s="84"/>
      <c r="V5" s="84"/>
      <c r="W5" s="85"/>
      <c r="X5" s="81"/>
      <c r="Y5" s="81"/>
      <c r="Z5" s="81"/>
      <c r="AA5" s="81"/>
      <c r="AB5" s="119" t="s">
        <v>81</v>
      </c>
      <c r="AC5" s="81"/>
      <c r="AD5" s="81"/>
      <c r="AE5" s="81"/>
      <c r="AF5" s="81"/>
    </row>
    <row r="6" spans="2:32" ht="17.25" customHeight="1" x14ac:dyDescent="0.25">
      <c r="B6" s="207" t="s">
        <v>0</v>
      </c>
      <c r="C6" s="184" t="s">
        <v>1</v>
      </c>
      <c r="D6" s="86"/>
      <c r="E6" s="86"/>
      <c r="F6" s="86"/>
      <c r="G6" s="86"/>
      <c r="H6" s="186" t="s">
        <v>2</v>
      </c>
      <c r="I6" s="188" t="s">
        <v>3</v>
      </c>
      <c r="J6" s="189"/>
      <c r="K6" s="189"/>
      <c r="L6" s="190"/>
      <c r="M6" s="181" t="s">
        <v>4</v>
      </c>
      <c r="N6" s="182" t="s">
        <v>5</v>
      </c>
      <c r="O6" s="182"/>
      <c r="P6" s="182"/>
      <c r="Q6" s="182"/>
      <c r="R6" s="182"/>
      <c r="S6" s="183"/>
      <c r="T6" s="204"/>
      <c r="U6" s="198"/>
      <c r="V6" s="198"/>
      <c r="W6" s="201" t="s">
        <v>6</v>
      </c>
      <c r="X6" s="194" t="s">
        <v>7</v>
      </c>
      <c r="Y6" s="123"/>
      <c r="Z6" s="194" t="s">
        <v>8</v>
      </c>
      <c r="AA6" s="194" t="s">
        <v>9</v>
      </c>
      <c r="AB6" s="194" t="s">
        <v>10</v>
      </c>
      <c r="AC6" s="81"/>
      <c r="AD6" s="81"/>
      <c r="AE6" s="81"/>
      <c r="AF6" s="81"/>
    </row>
    <row r="7" spans="2:32" ht="30" customHeight="1" x14ac:dyDescent="0.25">
      <c r="B7" s="208"/>
      <c r="C7" s="185"/>
      <c r="D7" s="89"/>
      <c r="E7" s="195" t="s">
        <v>11</v>
      </c>
      <c r="F7" s="195"/>
      <c r="G7" s="195"/>
      <c r="H7" s="187"/>
      <c r="I7" s="191"/>
      <c r="J7" s="192"/>
      <c r="K7" s="192"/>
      <c r="L7" s="193"/>
      <c r="M7" s="181"/>
      <c r="N7" s="182" t="s">
        <v>14</v>
      </c>
      <c r="O7" s="182"/>
      <c r="P7" s="182"/>
      <c r="Q7" s="182"/>
      <c r="R7" s="183"/>
      <c r="S7" s="196" t="s">
        <v>15</v>
      </c>
      <c r="T7" s="205"/>
      <c r="U7" s="199"/>
      <c r="V7" s="199"/>
      <c r="W7" s="202"/>
      <c r="X7" s="194"/>
      <c r="Y7" s="123"/>
      <c r="Z7" s="194"/>
      <c r="AA7" s="194"/>
      <c r="AB7" s="194"/>
      <c r="AC7" s="81"/>
      <c r="AD7" s="81"/>
      <c r="AE7" s="81"/>
      <c r="AF7" s="81"/>
    </row>
    <row r="8" spans="2:32" ht="53.25" customHeight="1" x14ac:dyDescent="0.25">
      <c r="B8" s="87"/>
      <c r="C8" s="88"/>
      <c r="D8" s="89">
        <v>111</v>
      </c>
      <c r="E8" s="89">
        <v>121</v>
      </c>
      <c r="F8" s="89">
        <v>122</v>
      </c>
      <c r="G8" s="89">
        <v>124</v>
      </c>
      <c r="H8" s="90" t="s">
        <v>16</v>
      </c>
      <c r="I8" s="90">
        <v>116</v>
      </c>
      <c r="J8" s="90">
        <v>121</v>
      </c>
      <c r="K8" s="90">
        <v>122</v>
      </c>
      <c r="L8" s="91">
        <v>124</v>
      </c>
      <c r="M8" s="181"/>
      <c r="N8" s="92" t="s">
        <v>17</v>
      </c>
      <c r="O8" s="93" t="s">
        <v>18</v>
      </c>
      <c r="P8" s="94" t="s">
        <v>19</v>
      </c>
      <c r="Q8" s="94" t="s">
        <v>20</v>
      </c>
      <c r="R8" s="94" t="s">
        <v>21</v>
      </c>
      <c r="S8" s="197"/>
      <c r="T8" s="206"/>
      <c r="U8" s="200"/>
      <c r="V8" s="200"/>
      <c r="W8" s="203"/>
      <c r="X8" s="194"/>
      <c r="Y8" s="123"/>
      <c r="Z8" s="194"/>
      <c r="AA8" s="194"/>
      <c r="AB8" s="194"/>
      <c r="AC8" s="81"/>
      <c r="AD8" s="81"/>
      <c r="AE8" s="81"/>
      <c r="AF8" s="81"/>
    </row>
    <row r="9" spans="2:32" s="33" customFormat="1" ht="18" customHeight="1" x14ac:dyDescent="0.25">
      <c r="B9" s="95">
        <v>1</v>
      </c>
      <c r="C9" s="52" t="s">
        <v>78</v>
      </c>
      <c r="D9" s="25">
        <f>'[1]Свод '!$I$77/1000</f>
        <v>5328.1502674687508</v>
      </c>
      <c r="E9" s="25">
        <f t="shared" ref="E9" si="0">(D9-D9*10%)*6%</f>
        <v>287.72011444331253</v>
      </c>
      <c r="F9" s="25">
        <f t="shared" ref="F9" si="1">(D9-D9*10%)*3.5%</f>
        <v>167.83673342526566</v>
      </c>
      <c r="G9" s="25">
        <f t="shared" ref="G9" si="2">D9*2%</f>
        <v>106.56300534937502</v>
      </c>
      <c r="H9" s="96">
        <f>8490*12</f>
        <v>101880</v>
      </c>
      <c r="I9" s="96">
        <f t="shared" ref="I9:I11" si="3">H9*1.5%</f>
        <v>1528.2</v>
      </c>
      <c r="J9" s="96">
        <f>(H9-H9*10%)*6%</f>
        <v>5501.5199999999995</v>
      </c>
      <c r="K9" s="96">
        <f>(H9-H9*10%)*3.5%</f>
        <v>3209.2200000000003</v>
      </c>
      <c r="L9" s="96">
        <f t="shared" ref="L9" si="4">H9*2%</f>
        <v>2037.6000000000001</v>
      </c>
      <c r="M9" s="96">
        <f t="shared" ref="M9" si="5">H9+J9+K9+L9+I9</f>
        <v>114156.54000000001</v>
      </c>
      <c r="N9" s="97"/>
      <c r="O9" s="98">
        <v>3026</v>
      </c>
      <c r="P9" s="98">
        <f>3560+612</f>
        <v>4172</v>
      </c>
      <c r="Q9" s="99">
        <v>0</v>
      </c>
      <c r="R9" s="99">
        <v>29.5</v>
      </c>
      <c r="S9" s="100">
        <v>2084</v>
      </c>
      <c r="T9" s="101"/>
      <c r="U9" s="102"/>
      <c r="V9" s="102"/>
      <c r="W9" s="103">
        <f>M9+N9+O9+P9+Q9+T9+S9+U9+V9+R9</f>
        <v>123468.04000000001</v>
      </c>
      <c r="X9" s="120">
        <f>W9/4+72</f>
        <v>30939.010000000002</v>
      </c>
      <c r="Y9" s="121"/>
      <c r="Z9" s="120">
        <f t="shared" ref="Z9" si="6">(M9+O9+P9+Q9+R9+S9)/4+819</f>
        <v>31686.010000000002</v>
      </c>
      <c r="AA9" s="122">
        <f t="shared" ref="AA9" si="7">(M9+O9+P9+Q9+R9+S9)/4</f>
        <v>30867.010000000002</v>
      </c>
      <c r="AB9" s="120">
        <f>30795.63-819</f>
        <v>29976.63</v>
      </c>
      <c r="AC9" s="107">
        <f t="shared" ref="AC9" si="8">N9/7</f>
        <v>0</v>
      </c>
      <c r="AD9" s="108">
        <f t="shared" ref="AD9:AD11" si="9">X9+Z9+AA9+AB9</f>
        <v>123468.66</v>
      </c>
      <c r="AE9" s="106">
        <f t="shared" ref="AE9" si="10">W9-AD9</f>
        <v>-0.61999999999534339</v>
      </c>
      <c r="AF9" s="107"/>
    </row>
    <row r="10" spans="2:32" s="33" customFormat="1" ht="19.5" customHeight="1" x14ac:dyDescent="0.25">
      <c r="B10" s="109"/>
      <c r="C10" s="52"/>
      <c r="D10" s="25"/>
      <c r="E10" s="25"/>
      <c r="F10" s="25"/>
      <c r="G10" s="25"/>
      <c r="H10" s="96"/>
      <c r="I10" s="96"/>
      <c r="J10" s="96"/>
      <c r="K10" s="96"/>
      <c r="L10" s="96"/>
      <c r="M10" s="96"/>
      <c r="N10" s="97"/>
      <c r="O10" s="98"/>
      <c r="P10" s="98"/>
      <c r="Q10" s="99"/>
      <c r="R10" s="99"/>
      <c r="S10" s="100"/>
      <c r="T10" s="101"/>
      <c r="U10" s="102"/>
      <c r="V10" s="102"/>
      <c r="W10" s="103"/>
      <c r="X10" s="104"/>
      <c r="Y10" s="105"/>
      <c r="Z10" s="104"/>
      <c r="AA10" s="106"/>
      <c r="AB10" s="104"/>
      <c r="AC10" s="107"/>
      <c r="AD10" s="108"/>
      <c r="AE10" s="106"/>
      <c r="AF10" s="107"/>
    </row>
    <row r="11" spans="2:32" s="54" customFormat="1" ht="27" customHeight="1" x14ac:dyDescent="0.25">
      <c r="B11" s="163" t="s">
        <v>80</v>
      </c>
      <c r="C11" s="164"/>
      <c r="D11" s="53">
        <f>SUM(D9:D10)</f>
        <v>5328.1502674687508</v>
      </c>
      <c r="E11" s="25">
        <f>(D11-D11*10%)*6%</f>
        <v>287.72011444331253</v>
      </c>
      <c r="F11" s="25">
        <f>(D11-D11*10%)*3.5%</f>
        <v>167.83673342526566</v>
      </c>
      <c r="G11" s="25">
        <f>D11*2%</f>
        <v>106.56300534937502</v>
      </c>
      <c r="H11" s="110">
        <f>SUM(H9:H10)</f>
        <v>101880</v>
      </c>
      <c r="I11" s="96">
        <f t="shared" si="3"/>
        <v>1528.2</v>
      </c>
      <c r="J11" s="110">
        <f>SUM(J9:J10)</f>
        <v>5501.5199999999995</v>
      </c>
      <c r="K11" s="110">
        <f>SUM(K9:K10)</f>
        <v>3209.2200000000003</v>
      </c>
      <c r="L11" s="110">
        <f>SUM(L9:L10)</f>
        <v>2037.6000000000001</v>
      </c>
      <c r="M11" s="96">
        <f>H11+J11+K11+L11+I11</f>
        <v>114156.54000000001</v>
      </c>
      <c r="N11" s="110">
        <f t="shared" ref="N11:V11" si="11">SUM(N9:N10)</f>
        <v>0</v>
      </c>
      <c r="O11" s="110">
        <f t="shared" si="11"/>
        <v>3026</v>
      </c>
      <c r="P11" s="110">
        <f t="shared" si="11"/>
        <v>4172</v>
      </c>
      <c r="Q11" s="110">
        <f t="shared" si="11"/>
        <v>0</v>
      </c>
      <c r="R11" s="110">
        <f t="shared" si="11"/>
        <v>29.5</v>
      </c>
      <c r="S11" s="110">
        <f t="shared" si="11"/>
        <v>2084</v>
      </c>
      <c r="T11" s="110">
        <f t="shared" si="11"/>
        <v>0</v>
      </c>
      <c r="U11" s="110">
        <f t="shared" si="11"/>
        <v>0</v>
      </c>
      <c r="V11" s="110">
        <f t="shared" si="11"/>
        <v>0</v>
      </c>
      <c r="W11" s="90">
        <f>M11+N11+O11+P11+Q11+T11+S11+U11+V11+R11</f>
        <v>123468.04000000001</v>
      </c>
      <c r="X11" s="90"/>
      <c r="Y11" s="90"/>
      <c r="Z11" s="90"/>
      <c r="AA11" s="90"/>
      <c r="AB11" s="90"/>
      <c r="AC11" s="111"/>
      <c r="AD11" s="108">
        <f t="shared" si="9"/>
        <v>0</v>
      </c>
      <c r="AE11" s="112"/>
      <c r="AF11" s="111"/>
    </row>
    <row r="12" spans="2:32" s="33" customFormat="1" ht="19.5" customHeight="1" x14ac:dyDescent="0.25">
      <c r="B12" s="113"/>
      <c r="C12" s="113"/>
      <c r="D12" s="114"/>
      <c r="E12" s="114"/>
      <c r="F12" s="114"/>
      <c r="G12" s="114"/>
      <c r="H12" s="115"/>
      <c r="I12" s="115"/>
      <c r="J12" s="115"/>
      <c r="K12" s="115"/>
      <c r="L12" s="115"/>
      <c r="M12" s="115"/>
      <c r="N12" s="116"/>
      <c r="O12" s="116"/>
      <c r="P12" s="117"/>
      <c r="Q12" s="118"/>
      <c r="R12" s="118"/>
      <c r="S12" s="117"/>
      <c r="T12" s="117"/>
      <c r="U12" s="117"/>
      <c r="V12" s="117"/>
      <c r="W12" s="119"/>
      <c r="X12" s="107"/>
      <c r="Y12" s="107"/>
      <c r="Z12" s="107"/>
      <c r="AA12" s="107"/>
      <c r="AB12" s="107"/>
      <c r="AC12" s="107"/>
      <c r="AD12" s="107"/>
      <c r="AE12" s="107"/>
      <c r="AF12" s="107"/>
    </row>
    <row r="13" spans="2:32" ht="18.75" x14ac:dyDescent="0.3">
      <c r="B13" s="59"/>
      <c r="C13" s="60"/>
      <c r="D13" s="61"/>
      <c r="E13" s="61"/>
      <c r="F13" s="61"/>
      <c r="G13" s="61"/>
      <c r="H13" s="165"/>
      <c r="I13" s="165"/>
      <c r="J13" s="77"/>
      <c r="K13" s="77"/>
      <c r="L13" s="77"/>
      <c r="M13" s="56"/>
      <c r="N13" s="56"/>
      <c r="O13" s="56"/>
      <c r="P13" s="57"/>
      <c r="Q13" s="57"/>
      <c r="R13" s="57"/>
      <c r="S13" s="57"/>
      <c r="T13" s="57"/>
      <c r="U13" s="57"/>
      <c r="V13" s="57"/>
      <c r="W13" s="58"/>
    </row>
    <row r="14" spans="2:32" ht="18.75" x14ac:dyDescent="0.3">
      <c r="B14" s="59"/>
      <c r="C14" s="60" t="s">
        <v>82</v>
      </c>
      <c r="D14" s="61"/>
      <c r="E14" s="61"/>
      <c r="F14" s="61"/>
      <c r="G14" s="61"/>
      <c r="H14" s="78"/>
      <c r="I14" s="78"/>
      <c r="J14" s="78"/>
      <c r="K14" s="78"/>
      <c r="L14" s="78" t="s">
        <v>83</v>
      </c>
      <c r="M14" s="115"/>
      <c r="N14" s="56"/>
      <c r="O14" s="57"/>
      <c r="P14" s="56"/>
      <c r="Q14" s="57"/>
      <c r="R14" s="57"/>
      <c r="S14" s="57"/>
      <c r="T14" s="57"/>
      <c r="U14" s="57"/>
      <c r="V14" s="57"/>
      <c r="W14" s="58"/>
    </row>
    <row r="15" spans="2:32" ht="15.75" x14ac:dyDescent="0.25">
      <c r="B15" s="65"/>
      <c r="C15" s="66"/>
      <c r="D15" s="67"/>
      <c r="E15" s="67"/>
      <c r="F15" s="67"/>
      <c r="G15" s="67"/>
      <c r="H15" s="68"/>
      <c r="I15" s="68"/>
      <c r="J15" s="68"/>
      <c r="K15" s="68"/>
      <c r="L15" s="68"/>
      <c r="M15" s="68"/>
      <c r="N15" s="68"/>
      <c r="O15" s="56"/>
      <c r="P15" s="57"/>
      <c r="Q15" s="57"/>
      <c r="R15" s="57"/>
      <c r="S15" s="57"/>
      <c r="T15" s="57"/>
      <c r="U15" s="57"/>
      <c r="V15" s="57"/>
      <c r="W15" s="58"/>
    </row>
    <row r="16" spans="2:32" ht="15.75" x14ac:dyDescent="0.25">
      <c r="B16" s="65"/>
      <c r="C16" s="66"/>
      <c r="D16" s="67"/>
      <c r="E16" s="67"/>
      <c r="F16" s="67"/>
      <c r="G16" s="67"/>
      <c r="H16" s="68"/>
      <c r="I16" s="68"/>
      <c r="J16" s="68"/>
      <c r="K16" s="68"/>
      <c r="L16" s="68"/>
      <c r="M16" s="68"/>
      <c r="N16" s="68"/>
      <c r="O16" s="57"/>
      <c r="P16" s="57"/>
      <c r="Q16" s="57"/>
      <c r="R16" s="57"/>
      <c r="S16" s="57"/>
      <c r="T16" s="57"/>
      <c r="U16" s="57"/>
      <c r="V16" s="57"/>
      <c r="W16" s="58"/>
    </row>
    <row r="17" spans="2:23" ht="15.75" x14ac:dyDescent="0.25">
      <c r="B17" s="65"/>
      <c r="C17" s="65"/>
      <c r="D17" s="69"/>
      <c r="E17" s="69"/>
      <c r="F17" s="69"/>
      <c r="G17" s="69"/>
      <c r="H17" s="56"/>
      <c r="I17" s="56"/>
      <c r="J17" s="56"/>
      <c r="K17" s="56"/>
      <c r="L17" s="56"/>
      <c r="M17" s="56"/>
      <c r="N17" s="56"/>
      <c r="O17" s="56"/>
      <c r="P17" s="57"/>
      <c r="Q17" s="57"/>
      <c r="R17" s="57"/>
      <c r="S17" s="57"/>
      <c r="T17" s="57"/>
      <c r="U17" s="57"/>
      <c r="V17" s="57"/>
      <c r="W17" s="58"/>
    </row>
    <row r="18" spans="2:23" x14ac:dyDescent="0.25">
      <c r="O18" s="71"/>
    </row>
    <row r="19" spans="2:23" x14ac:dyDescent="0.25">
      <c r="O19" s="71"/>
    </row>
  </sheetData>
  <mergeCells count="20">
    <mergeCell ref="B11:C11"/>
    <mergeCell ref="H13:I13"/>
    <mergeCell ref="AB6:AB8"/>
    <mergeCell ref="E7:G7"/>
    <mergeCell ref="N7:R7"/>
    <mergeCell ref="S7:S8"/>
    <mergeCell ref="U6:U8"/>
    <mergeCell ref="V6:V8"/>
    <mergeCell ref="W6:W8"/>
    <mergeCell ref="X6:X8"/>
    <mergeCell ref="Z6:Z8"/>
    <mergeCell ref="AA6:AA8"/>
    <mergeCell ref="T6:T8"/>
    <mergeCell ref="B6:B7"/>
    <mergeCell ref="C5:Q5"/>
    <mergeCell ref="M6:M8"/>
    <mergeCell ref="N6:S6"/>
    <mergeCell ref="C6:C7"/>
    <mergeCell ref="H6:H7"/>
    <mergeCell ref="I6:L7"/>
  </mergeCells>
  <pageMargins left="0.11811023622047245" right="0.11811023622047245" top="0.15748031496062992" bottom="0.15748031496062992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16.10.2024</vt:lpstr>
      <vt:lpstr>РОО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2024-11-04T08:58:18Z</dcterms:modified>
</cp:coreProperties>
</file>